
<file path=[Content_Types].xml><?xml version="1.0" encoding="utf-8"?>
<Types xmlns="http://schemas.openxmlformats.org/package/2006/content-types">
  <Default Extension="emf" ContentType="image/x-emf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/>
  <mc:AlternateContent xmlns:mc="http://schemas.openxmlformats.org/markup-compatibility/2006">
    <mc:Choice Requires="x15">
      <x15ac:absPath xmlns:x15ac="http://schemas.microsoft.com/office/spreadsheetml/2010/11/ac" url="/Users/hansherrerabravo/Library/CloudStorage/GoogleDrive-herreraestudiotributario@gmail.com/Otros ordenadores/Mi PC (1)/Downloads/ENTRENAMIENTO TRIBUTARIO/F22 - PEDGAOGICO/"/>
    </mc:Choice>
  </mc:AlternateContent>
  <xr:revisionPtr revIDLastSave="0" documentId="13_ncr:1_{896C4DFC-4237-854F-BB61-3DEE44B9B2D0}" xr6:coauthVersionLast="47" xr6:coauthVersionMax="47" xr10:uidLastSave="{00000000-0000-0000-0000-000000000000}"/>
  <bookViews>
    <workbookView xWindow="0" yWindow="680" windowWidth="29040" windowHeight="15720" activeTab="6" xr2:uid="{00000000-000D-0000-FFFF-FFFF00000000}"/>
  </bookViews>
  <sheets>
    <sheet name="Tabla IGC" sheetId="7" r:id="rId1"/>
    <sheet name="R17" sheetId="1" r:id="rId2"/>
    <sheet name="R18" sheetId="5" r:id="rId3"/>
    <sheet name="R19" sheetId="6" r:id="rId4"/>
    <sheet name="R20" sheetId="3" r:id="rId5"/>
    <sheet name="R21" sheetId="4" r:id="rId6"/>
    <sheet name="EJERCICIO" sheetId="2" r:id="rId7"/>
  </sheets>
  <externalReferences>
    <externalReference r:id="rId8"/>
  </externalReferences>
  <definedNames>
    <definedName name="aa">#REF!</definedName>
    <definedName name="aaa">#REF!</definedName>
    <definedName name="aaaa">#REF!</definedName>
    <definedName name="casa">#REF!</definedName>
    <definedName name="CERTIFICADO">#REF!</definedName>
    <definedName name="Codigo">#REF!</definedName>
    <definedName name="g">#REF!</definedName>
    <definedName name="ggg">#REF!</definedName>
    <definedName name="GVKey">""</definedName>
    <definedName name="INVERSION">#REF!</definedName>
    <definedName name="mmm">#REF!</definedName>
    <definedName name="operacion">#REF!</definedName>
    <definedName name="OPERACION1">#REF!</definedName>
    <definedName name="operacion4">#REF!</definedName>
    <definedName name="pert">#REF!</definedName>
    <definedName name="SPSet">"current"</definedName>
    <definedName name="SPWS_WBID">""</definedName>
    <definedName name="ssss">#REF!</definedName>
    <definedName name="TopRankDefaultDistForRange" hidden="1">0</definedName>
    <definedName name="TopRankDefaultMaxChange" hidden="1">"0,1"</definedName>
    <definedName name="TopRankDefaultMultiGroupSize" hidden="1">2</definedName>
    <definedName name="TopRankDefaultMultiStepsPerInput" hidden="1">2</definedName>
    <definedName name="TopRankDefaultRangeType" hidden="1">0</definedName>
    <definedName name="TopRankDefaultStepsPerInput" hidden="1">5</definedName>
    <definedName name="TopRankDetailByInputReport" hidden="1">FALSE</definedName>
    <definedName name="TopRankMaxInputsPerGraph" hidden="1">10</definedName>
    <definedName name="TopRankMultiWayReport" hidden="1">FALSE</definedName>
    <definedName name="TopRankNumberOfRuns" hidden="1">1</definedName>
    <definedName name="TopRankOnlyInputsChangeThreshold">"0,01"</definedName>
    <definedName name="TopRankOnlyInputsOverThreshold" hidden="1">TRUE</definedName>
    <definedName name="TopRankOnlyTopRanking" hidden="1">TRUE</definedName>
    <definedName name="TopRankOutputDetailReport" hidden="1">FALSE</definedName>
    <definedName name="TopRankOutputsAsPercentChange" hidden="1">FALSE</definedName>
    <definedName name="TopRankOverwriteExisting" hidden="1">FALSE</definedName>
    <definedName name="TopRankPauseOnError" hidden="1">FALSE</definedName>
    <definedName name="TopRankPerformPrecedentScanAddOutput" hidden="1">FALSE</definedName>
    <definedName name="TopRankPerformPrecedentScanAtStart" hidden="1">TRUE</definedName>
    <definedName name="TopRankPrecedentScanType" hidden="1">1</definedName>
    <definedName name="TopRankReportAllOutputCells" hidden="1">TRUE</definedName>
    <definedName name="TopRankReportsInExistingWorkbook" hidden="1">FALSE</definedName>
    <definedName name="TopRankReportsInExistingWorkbookName" hidden="1">"Libro de trabajo activo"</definedName>
    <definedName name="TopRankReportsInNewWorkbook" hidden="1">TRUE</definedName>
    <definedName name="TopRankSensitivityGraphs" hidden="1">FALSE</definedName>
    <definedName name="TopRankSingleWorkbookAllResults" hidden="1">FALSE</definedName>
    <definedName name="TopRankSpiderGraphs" hidden="1">TRUE</definedName>
    <definedName name="TopRankTornadoGraphs" hidden="1">TRUE</definedName>
    <definedName name="TopRankUpdateDisplay" hidden="1">FALSE</definedName>
    <definedName name="v">'[1]Registrar  AT.Actual'!$A$2:$B$182</definedName>
    <definedName name="x">'[1]Registrar  AT.-1'!$A:$B</definedName>
    <definedName name="z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4" i="2" l="1"/>
  <c r="C36" i="2"/>
  <c r="B5" i="7" s="1"/>
  <c r="F31" i="4"/>
  <c r="H30" i="4"/>
  <c r="G25" i="4"/>
  <c r="F25" i="4"/>
  <c r="F24" i="4"/>
  <c r="D12" i="3"/>
  <c r="F20" i="2"/>
  <c r="E17" i="7"/>
  <c r="I15" i="7"/>
  <c r="E14" i="7"/>
  <c r="D14" i="7"/>
  <c r="B4" i="7"/>
  <c r="I13" i="7" s="1"/>
  <c r="B6" i="7" l="1"/>
  <c r="B23" i="7"/>
  <c r="B21" i="7"/>
  <c r="B20" i="7"/>
  <c r="B22" i="7"/>
  <c r="D17" i="7"/>
  <c r="I14" i="7"/>
  <c r="D15" i="7"/>
  <c r="D10" i="7"/>
  <c r="E15" i="7"/>
  <c r="E10" i="7"/>
  <c r="I10" i="7"/>
  <c r="D16" i="7"/>
  <c r="D11" i="7"/>
  <c r="E16" i="7"/>
  <c r="E11" i="7"/>
  <c r="I16" i="7"/>
  <c r="I11" i="7"/>
  <c r="D12" i="7"/>
  <c r="E12" i="7"/>
  <c r="I12" i="7"/>
  <c r="D13" i="7"/>
  <c r="E13" i="7"/>
  <c r="I17" i="7"/>
  <c r="C24" i="6"/>
  <c r="C23" i="6"/>
  <c r="C6" i="5"/>
  <c r="C11" i="5" s="1"/>
  <c r="J18" i="4"/>
  <c r="L18" i="4"/>
  <c r="F18" i="4"/>
  <c r="D18" i="4"/>
  <c r="P18" i="4"/>
  <c r="P17" i="3"/>
  <c r="N17" i="3"/>
  <c r="D17" i="3"/>
  <c r="C36" i="1"/>
  <c r="C35" i="1"/>
  <c r="C12" i="1"/>
  <c r="C37" i="1" l="1"/>
  <c r="C40" i="1" s="1"/>
</calcChain>
</file>

<file path=xl/sharedStrings.xml><?xml version="1.0" encoding="utf-8"?>
<sst xmlns="http://schemas.openxmlformats.org/spreadsheetml/2006/main" count="301" uniqueCount="178">
  <si>
    <t>RECUADRO N° 17: BASE IMPONIBLE RÉGIMEN PRO PYME (ART. 14 LETRA D) N° 3 LIR</t>
  </si>
  <si>
    <t>ITEMS</t>
  </si>
  <si>
    <t>CODIGO</t>
  </si>
  <si>
    <t>PERCIBIDO Y PAGADO</t>
  </si>
  <si>
    <t>MAS O MENOS</t>
  </si>
  <si>
    <t>Ingresos del giro percibidos</t>
  </si>
  <si>
    <t>+</t>
  </si>
  <si>
    <t>Ingresos del giro devengados en ejercicios anteriores y percibidos en el ejercicio actual</t>
  </si>
  <si>
    <t>Rentas de fuente extranjera percibidas</t>
  </si>
  <si>
    <t>Intereses y reajustes percibidos por préstamos y otros</t>
  </si>
  <si>
    <t>Mayor valor percibido por rescate o enajenación de inversiones o bienes no depreciables</t>
  </si>
  <si>
    <t>Ingresos percibidos o devengados por operaciones con empresas relacionadas del art. 14 letra A) LIR</t>
  </si>
  <si>
    <t>Otros ingresos percibidos o devengados</t>
  </si>
  <si>
    <t>Ingreso diferido imputado en el ejercicio, debidamente incrementado y reajustado cuando corresponda</t>
  </si>
  <si>
    <t>Crédito sobre activos fijos adquiridos en el ejercicio (art. 33 bis LIR)</t>
  </si>
  <si>
    <t>Total de ingresos anuales</t>
  </si>
  <si>
    <t>=</t>
  </si>
  <si>
    <t>Gasto por saldo inicial de existencias o insumos del negocio en cambio de régimen, pagados</t>
  </si>
  <si>
    <t>-</t>
  </si>
  <si>
    <t>Gasto por saldo inicial de activos fijos depreciables en cambio de régimen, pagados</t>
  </si>
  <si>
    <t>Gasto por pérdida tributaria en cambio de régimen</t>
  </si>
  <si>
    <t>Existencias, insumos y servicios del negocio, pagados</t>
  </si>
  <si>
    <t>Existencias, insumos y servicios del negocio adeudados en ejercicios anteriores y pagados en el ejercicio actual</t>
  </si>
  <si>
    <t>Gastos de renta de fuente extranjera, pagados</t>
  </si>
  <si>
    <t>Remuneraciones pagadas</t>
  </si>
  <si>
    <t>Honorarios pagados</t>
  </si>
  <si>
    <t>Adquisición de bienes del activo fijo, pagados</t>
  </si>
  <si>
    <t>Arriendos pagados</t>
  </si>
  <si>
    <t>Gastos por exigencias medio ambientales, pagados</t>
  </si>
  <si>
    <t>Gastos por inversión privada en investigación y desarrollo no certificados por CORFO</t>
  </si>
  <si>
    <t>Gastos por inversión privada en investigación y desarrollo certificados por CORFO</t>
  </si>
  <si>
    <t>Intereses y reajustes pagados por préstamos y otros</t>
  </si>
  <si>
    <t>Partidas del art. 21 inc. 1° y 3° LIR pagados</t>
  </si>
  <si>
    <t>Partidas del art. 21 inc. 1° no afectadas con IU 40% y del inc. 2° LIR pagados</t>
  </si>
  <si>
    <t>Pérdida en rescate o enajenación de inversiones o bienes no depreciables</t>
  </si>
  <si>
    <t>Otros gastos deducibles de los ingresos</t>
  </si>
  <si>
    <t>Gastos o egresos pagados o adeudados por operaciones con empresas relacionadas del art. 14 letra A) LIR</t>
  </si>
  <si>
    <t>Pérdidas tributarias de ejercicios anteriores</t>
  </si>
  <si>
    <t>Créditos incobrables castigados en el ejercicio (reconocidos sobre ingresos devengados)</t>
  </si>
  <si>
    <t>Gastos aceptados por donaciones</t>
  </si>
  <si>
    <t>Total de egresos anuales</t>
  </si>
  <si>
    <t>Partidas del inc. 1° no afectas al IU de tasa 40% y del inc. 2° del art. 21 LIR (históricos), incluidos en el total de egresos</t>
  </si>
  <si>
    <t>Base imponible antes de rebaja por incentivo al ahorro (art. 14 letra E) LIR) y/o por pago de IDPC voluntario (art. 14 letra A) N° 6 LIR y art. 42° transitorio Ley N° 21.210) o pérdida tributaria</t>
  </si>
  <si>
    <t>Incentivo al ahorro según art. 14 letra E) LIR</t>
  </si>
  <si>
    <t>Base del IDPC voluntario según art. 14 letra A) N° 6 LIR y art. 42° transitorio Ley N° 21.210</t>
  </si>
  <si>
    <t>Base Imponible afecta a IDPC o pérdida tributaria del ejercicio</t>
  </si>
  <si>
    <t>RECUADRO N° 20: REGISTRO TRIBUTARIO DE RENTAS EMPRESARIALES Y MOVIMIENTO STUT (ART. 14 LETRA D) N° 3 LIR)</t>
  </si>
  <si>
    <t>RAI</t>
  </si>
  <si>
    <t>REX</t>
  </si>
  <si>
    <t>STUT</t>
  </si>
  <si>
    <t>RENTAS CON TRIBUTACIÓN CUMPLIDA</t>
  </si>
  <si>
    <t>RENTAS EXENTAS</t>
  </si>
  <si>
    <t>INR</t>
  </si>
  <si>
    <t>RAP Y DIFERENCIA INICIAL EX ART. 14 TER A) LIR</t>
  </si>
  <si>
    <t>ISFUT / ISIF</t>
  </si>
  <si>
    <t>OTRAS</t>
  </si>
  <si>
    <t>Remanente ejercicio anterior o saldo inicial (saldo positivo)</t>
  </si>
  <si>
    <t xml:space="preserve">Remanente ejercicio anterior o saldo inicial (saldo negativo) </t>
  </si>
  <si>
    <t>Monto acogido al ISIF, según arts. 10 y 11 Ley N° 21.681</t>
  </si>
  <si>
    <t>+/-</t>
  </si>
  <si>
    <t>Aumentos del ejercicio (por reorganizaciones)</t>
  </si>
  <si>
    <t>Disminuciones del ejercicio (por reorganizaciones)</t>
  </si>
  <si>
    <t>Reversos y/o disminuciones del ejercicio (propios)</t>
  </si>
  <si>
    <t>Aumentos del ejercicio (propios)</t>
  </si>
  <si>
    <t>Otros aumentos del ejercicio</t>
  </si>
  <si>
    <t>Otras disminuciones del ejercicio</t>
  </si>
  <si>
    <t>Retiros, dividendos o remesas imputados a los RTRE</t>
  </si>
  <si>
    <t>Retiros en exceso y devoluciones de capital imputados en el ejercicio</t>
  </si>
  <si>
    <t>Remanente ejercicio siguiente (saldo positivo)</t>
  </si>
  <si>
    <t>Remanente ejercicio siguiente (saldo negativo)</t>
  </si>
  <si>
    <t>RECUADRO N° 21: REGISTRO SAC (ART. 14 LETRA D) N° 3 LIR)</t>
  </si>
  <si>
    <t>Acumulados a contar desde el 01.01.2017</t>
  </si>
  <si>
    <t>Acumulados hasta el 31.12.2016</t>
  </si>
  <si>
    <t>No Sujeto a Restitución</t>
  </si>
  <si>
    <t>Sujeto a Restitución</t>
  </si>
  <si>
    <t>IPE</t>
  </si>
  <si>
    <t>Sin D° Devolución</t>
  </si>
  <si>
    <t>Con D° Devolución</t>
  </si>
  <si>
    <t>Monto imputado al ISIF arts. 10 y 11 Ley N° 21.681</t>
  </si>
  <si>
    <t>IDPC e IPE base imponible generada en el ejercicio</t>
  </si>
  <si>
    <t>IDPC e IPE retiros o dividendos percibidos</t>
  </si>
  <si>
    <t>Asignado a remesas, retiros o dividendos efectuados en el ejercicio</t>
  </si>
  <si>
    <t>Asignado a retiros en exceso y devoluciones de capital  efectuados en el ejercicio</t>
  </si>
  <si>
    <t>IDPC e IPE asignado a gastos rechazados del art. 21 inc. 1° no afectos a IU 40% y del inc. 2° LIR</t>
  </si>
  <si>
    <t xml:space="preserve">Remanente ejercicio siguiente (saldo negativo) </t>
  </si>
  <si>
    <t>Concepto</t>
  </si>
  <si>
    <t>Código</t>
  </si>
  <si>
    <t>Monto</t>
  </si>
  <si>
    <t>+ / -</t>
  </si>
  <si>
    <t>CPTS positivo final (recuadro N° 19)</t>
  </si>
  <si>
    <t>CPTS negativo final (recuadro N° 19)</t>
  </si>
  <si>
    <t>Saldo negativo del registro REX al término del ejercicio</t>
  </si>
  <si>
    <t>Remesas, retiros o dividendos repartidos en el ejercicio, históricos</t>
  </si>
  <si>
    <t>Subtotal</t>
  </si>
  <si>
    <t>Saldo positivo del registro REX al término del ejercicio, antes de imputaciones</t>
  </si>
  <si>
    <t>Capital aportado, histórico (incluye aumentos y disminuciones efectivas)</t>
  </si>
  <si>
    <t>Saldo FUR (cuando no haya sido considerado dentro del valor del capital aportado a la empresa)</t>
  </si>
  <si>
    <t>Sobreprecio obtenido en la colocación de acciones de propia emisión, histórico</t>
  </si>
  <si>
    <t>Rentas afectas a IGC o IA (RAI) del ejercicio</t>
  </si>
  <si>
    <t>RECUADRO N° 19: CPTS RÉGIMEN PRO PYME (ART. 14 LETRA D) N° 3 LIR)</t>
  </si>
  <si>
    <t>CPT o CPTS positivo inicial</t>
  </si>
  <si>
    <t>CPT o CPTS negativo inicial</t>
  </si>
  <si>
    <t>Capital aportado empresas que inician actividades en el año comercial que corresponda a esta declaración</t>
  </si>
  <si>
    <t>Aumentos (efectivos) de capital del ejercicio</t>
  </si>
  <si>
    <t>Disminuciones (efectivas) de capital del ejercicio</t>
  </si>
  <si>
    <t>Base imponible afecta a IDPC del ejercicio</t>
  </si>
  <si>
    <t>Pérdida tributaria del ejercicio al 31 de diciembre</t>
  </si>
  <si>
    <t>Rentas exentas e ingresos no renta (positivo), generados por la empresa en el ejercicio</t>
  </si>
  <si>
    <t>Pérdida por rentas exentas e ingresos no renta del ejercicio</t>
  </si>
  <si>
    <t>Retiros o dividendos percibidos en el ejercicio por participaciones en otras empresas</t>
  </si>
  <si>
    <t>Remesas, retiros o dividendos repartidos en el ejercicio</t>
  </si>
  <si>
    <t>Partidas del inc. 1° no afectas al IU de tasa 40% y del inc. 2° del art. 21 LIR</t>
  </si>
  <si>
    <t>Crédito total disponible imputable contra impuestos finales (IPE), del ejercicio</t>
  </si>
  <si>
    <t>Base del IDPC voluntario según art. 14 letra A) N° 6 LIR</t>
  </si>
  <si>
    <t>Otras partidas a agregar</t>
  </si>
  <si>
    <t>Otras partidas a deducir</t>
  </si>
  <si>
    <t>CPTS positivo final</t>
  </si>
  <si>
    <t>CPTS negativo final</t>
  </si>
  <si>
    <t>Nota: complete manualmente los montos en la tercera columna según los antecedentes del contribuyente.</t>
  </si>
  <si>
    <t>Tabla editable - tramos de renta anual según UTM</t>
  </si>
  <si>
    <t>Ingrese valor UTM</t>
  </si>
  <si>
    <t>Usa el recuadro amarillo B3 para ingresar el valor de la UTM. La planilla calcula automáticamente la UTA, los tramos expresados en pesos y la cantidad a rebajar. También puedes ingresar una renta imponible anual en B5 para ver el impuesto calculado.</t>
  </si>
  <si>
    <t>UTA calculada</t>
  </si>
  <si>
    <t>Renta imponible anual</t>
  </si>
  <si>
    <t>Impuesto calculado</t>
  </si>
  <si>
    <t>Tramo de Renta Imponible Anual (UTA)</t>
  </si>
  <si>
    <t>Desde UTA</t>
  </si>
  <si>
    <t>Hasta UTA</t>
  </si>
  <si>
    <t>Desde $</t>
  </si>
  <si>
    <t>Hasta $</t>
  </si>
  <si>
    <t>Tasa</t>
  </si>
  <si>
    <t>Factor</t>
  </si>
  <si>
    <t>Rebaja UTA</t>
  </si>
  <si>
    <t>Cantidad a Rebajar $</t>
  </si>
  <si>
    <t>0 a 13,5 UTA</t>
  </si>
  <si>
    <t>Exento</t>
  </si>
  <si>
    <t>13,5 a 30 UTA</t>
  </si>
  <si>
    <t>4%</t>
  </si>
  <si>
    <t>30 a 50 UTA</t>
  </si>
  <si>
    <t>8%</t>
  </si>
  <si>
    <t>50 a 70 UTA</t>
  </si>
  <si>
    <t>13,5%</t>
  </si>
  <si>
    <t>70 a 90 UTA</t>
  </si>
  <si>
    <t>23%</t>
  </si>
  <si>
    <t>90 a 120 UTA</t>
  </si>
  <si>
    <t>30,4%</t>
  </si>
  <si>
    <t>120 a 310 UTA</t>
  </si>
  <si>
    <t>35%</t>
  </si>
  <si>
    <t>Más de 310 UTA</t>
  </si>
  <si>
    <t>40%</t>
  </si>
  <si>
    <t>Tramo aplicable</t>
  </si>
  <si>
    <t>Factor aplicable</t>
  </si>
  <si>
    <t>Rebaja aplicable</t>
  </si>
  <si>
    <t>Renta base ingresada</t>
  </si>
  <si>
    <t>Nota: los montos se recalculan con UTA = UTM x 12. La columna 'Cantidad a Rebajar $' usa la rebaja expresada en UTA para que cambie automáticamente al actualizar B3.</t>
  </si>
  <si>
    <r>
      <t xml:space="preserve">La empresa inicia actividades el </t>
    </r>
    <r>
      <rPr>
        <b/>
        <sz val="11"/>
        <rFont val="Carlito"/>
      </rPr>
      <t>1 de enero de 2026</t>
    </r>
    <r>
      <rPr>
        <sz val="11"/>
        <rFont val="Carlito"/>
      </rPr>
      <t>, con un aporte de capital inicial de:</t>
    </r>
  </si>
  <si>
    <t>Capital inicial: $10.000.000</t>
  </si>
  <si>
    <t>Durante el año comercial 2026 realiza las siguientes operaciones:</t>
  </si>
  <si>
    <t>Ventas del año</t>
  </si>
  <si>
    <t>Compras de mercadería y maquinaria</t>
  </si>
  <si>
    <t>Base imponible tributaria</t>
  </si>
  <si>
    <t>El dueño de la empresa realiza retiros mensuales de:</t>
  </si>
  <si>
    <t>Retiro mensual: $1.500.000</t>
  </si>
  <si>
    <t>El dueño tiene dos rentas durante el año:</t>
  </si>
  <si>
    <t>Sueldo anual 2026</t>
  </si>
  <si>
    <t>La empresa es del regimén 14D N°3</t>
  </si>
  <si>
    <t>Ingresos Percibidos</t>
  </si>
  <si>
    <t>Gastos Pagados</t>
  </si>
  <si>
    <t>En el F29 tiene que estar clasificado como AF</t>
  </si>
  <si>
    <t>codigo 1545 R19</t>
  </si>
  <si>
    <t>codigo 1546 R19</t>
  </si>
  <si>
    <t>RETIRO</t>
  </si>
  <si>
    <t>INCREMENTO</t>
  </si>
  <si>
    <t>CREDITO</t>
  </si>
  <si>
    <t>IGC</t>
  </si>
  <si>
    <t>RIUT</t>
  </si>
  <si>
    <t>SUELDO</t>
  </si>
  <si>
    <t>DJ1948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</si>
</sst>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$&quot;#,##0;[Red]&quot;$&quot;\-#,##0"/>
    <numFmt numFmtId="165" formatCode="_ * #,##0_ ;_ * \-#,##0_ ;_ * &quot;-&quot;_ ;_ @_ "/>
    <numFmt numFmtId="166" formatCode="\$\ #,##0"/>
    <numFmt numFmtId="167" formatCode="0.0"/>
    <numFmt numFmtId="168" formatCode="0.000"/>
  </numFmts>
  <fonts count="15">
    <font>
      <sz val="11"/>
      <name val="Carlito"/>
    </font>
    <font>
      <sz val="11"/>
      <color theme="1"/>
      <name val="Calibri"/>
      <family val="2"/>
      <scheme val="minor"/>
    </font>
    <font>
      <b/>
      <sz val="11"/>
      <name val="Carlito"/>
    </font>
    <font>
      <b/>
      <sz val="11"/>
      <color rgb="FFFFFFFF"/>
      <name val="Carlito"/>
    </font>
    <font>
      <sz val="11"/>
      <name val="Carlito"/>
    </font>
    <font>
      <b/>
      <sz val="10"/>
      <color rgb="FFFF000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3"/>
      <name val="Carlito"/>
    </font>
    <font>
      <i/>
      <sz val="11"/>
      <name val="Carlito"/>
    </font>
    <font>
      <b/>
      <sz val="16"/>
      <color rgb="FFFFFFFF"/>
      <name val="Carlito"/>
    </font>
    <font>
      <b/>
      <sz val="11"/>
      <color rgb="FF123F68"/>
      <name val="Carlito"/>
    </font>
    <font>
      <sz val="11"/>
      <color rgb="FF333333"/>
      <name val="Carlito"/>
    </font>
    <font>
      <i/>
      <sz val="11"/>
      <color rgb="FF666666"/>
      <name val="Carlito"/>
    </font>
  </fonts>
  <fills count="16">
    <fill>
      <patternFill patternType="none"/>
    </fill>
    <fill>
      <patternFill patternType="gray125"/>
    </fill>
    <fill>
      <patternFill patternType="solid">
        <fgColor rgb="FFD9E1F2"/>
      </patternFill>
    </fill>
    <fill>
      <patternFill patternType="solid">
        <fgColor rgb="FF1F4E78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rgb="FF000000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BFBFBF"/>
      </patternFill>
    </fill>
    <fill>
      <patternFill patternType="solid">
        <fgColor rgb="FFD9D9D9"/>
      </patternFill>
    </fill>
    <fill>
      <patternFill patternType="solid">
        <fgColor rgb="FFD9EAF7"/>
      </patternFill>
    </fill>
    <fill>
      <patternFill patternType="solid">
        <fgColor rgb="FFE7E6E6"/>
      </patternFill>
    </fill>
    <fill>
      <patternFill patternType="solid">
        <fgColor rgb="FFFFF2CC"/>
      </patternFill>
    </fill>
    <fill>
      <patternFill patternType="solid">
        <fgColor rgb="FF123F68"/>
      </patternFill>
    </fill>
    <fill>
      <patternFill patternType="solid">
        <fgColor rgb="FFE8F0F7"/>
      </patternFill>
    </fill>
    <fill>
      <patternFill patternType="solid">
        <fgColor rgb="FFF3F6FA"/>
      </patternFill>
    </fill>
    <fill>
      <patternFill patternType="solid">
        <fgColor rgb="FFF8FAFC"/>
      </patternFill>
    </fill>
  </fills>
  <borders count="8">
    <border>
      <left/>
      <right/>
      <top/>
      <bottom/>
      <diagonal/>
    </border>
    <border>
      <left style="thin">
        <color theme="4"/>
      </left>
      <right style="thin">
        <color theme="4"/>
      </right>
      <top style="thin">
        <color theme="4"/>
      </top>
      <bottom style="thin">
        <color theme="4"/>
      </bottom>
      <diagonal/>
    </border>
    <border>
      <left style="thin">
        <color theme="4"/>
      </left>
      <right style="thin">
        <color theme="4"/>
      </right>
      <top style="thin">
        <color theme="4"/>
      </top>
      <bottom/>
      <diagonal/>
    </border>
    <border>
      <left style="thin">
        <color theme="4"/>
      </left>
      <right style="thin">
        <color theme="4"/>
      </right>
      <top/>
      <bottom/>
      <diagonal/>
    </border>
    <border>
      <left style="thin">
        <color theme="4"/>
      </left>
      <right style="thin">
        <color theme="4"/>
      </right>
      <top/>
      <bottom style="thin">
        <color theme="4"/>
      </bottom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/>
      <diagonal/>
    </border>
  </borders>
  <cellStyleXfs count="3">
    <xf numFmtId="0" fontId="0" fillId="0" borderId="0"/>
    <xf numFmtId="165" fontId="4" fillId="0" borderId="0" applyFont="0" applyFill="0" applyBorder="0" applyAlignment="0" applyProtection="0"/>
    <xf numFmtId="0" fontId="1" fillId="0" borderId="0"/>
  </cellStyleXfs>
  <cellXfs count="72">
    <xf numFmtId="0" fontId="0" fillId="0" borderId="0" xfId="0"/>
    <xf numFmtId="0" fontId="3" fillId="3" borderId="0" xfId="0" applyFont="1" applyFill="1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166" fontId="0" fillId="0" borderId="0" xfId="0" applyNumberFormat="1" applyAlignment="1">
      <alignment horizontal="right"/>
    </xf>
    <xf numFmtId="49" fontId="0" fillId="0" borderId="0" xfId="0" applyNumberFormat="1" applyAlignment="1">
      <alignment horizontal="center"/>
    </xf>
    <xf numFmtId="0" fontId="0" fillId="4" borderId="0" xfId="0" applyFill="1" applyAlignment="1">
      <alignment wrapText="1"/>
    </xf>
    <xf numFmtId="0" fontId="0" fillId="4" borderId="0" xfId="0" applyFill="1" applyAlignment="1">
      <alignment horizontal="center"/>
    </xf>
    <xf numFmtId="166" fontId="0" fillId="4" borderId="0" xfId="0" applyNumberFormat="1" applyFill="1" applyAlignment="1">
      <alignment horizontal="right"/>
    </xf>
    <xf numFmtId="49" fontId="0" fillId="4" borderId="0" xfId="0" applyNumberFormat="1" applyFill="1" applyAlignment="1">
      <alignment horizontal="center"/>
    </xf>
    <xf numFmtId="0" fontId="6" fillId="0" borderId="0" xfId="2" applyFont="1"/>
    <xf numFmtId="0" fontId="7" fillId="6" borderId="2" xfId="2" applyFont="1" applyFill="1" applyBorder="1" applyAlignment="1">
      <alignment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7" fillId="6" borderId="3" xfId="2" applyFont="1" applyFill="1" applyBorder="1" applyAlignment="1">
      <alignment vertical="center" wrapText="1"/>
    </xf>
    <xf numFmtId="0" fontId="7" fillId="6" borderId="4" xfId="2" applyFont="1" applyFill="1" applyBorder="1" applyAlignment="1">
      <alignment vertical="center" wrapText="1"/>
    </xf>
    <xf numFmtId="0" fontId="7" fillId="0" borderId="1" xfId="2" applyFont="1" applyBorder="1" applyAlignment="1">
      <alignment vertical="center"/>
    </xf>
    <xf numFmtId="3" fontId="7" fillId="0" borderId="1" xfId="2" applyNumberFormat="1" applyFont="1" applyBorder="1" applyAlignment="1">
      <alignment vertical="center" wrapText="1"/>
    </xf>
    <xf numFmtId="0" fontId="7" fillId="6" borderId="5" xfId="2" applyFont="1" applyFill="1" applyBorder="1" applyAlignment="1">
      <alignment horizontal="center" vertical="center" wrapText="1"/>
    </xf>
    <xf numFmtId="0" fontId="7" fillId="6" borderId="6" xfId="2" applyFont="1" applyFill="1" applyBorder="1" applyAlignment="1">
      <alignment vertical="center" wrapText="1"/>
    </xf>
    <xf numFmtId="3" fontId="8" fillId="0" borderId="1" xfId="2" applyNumberFormat="1" applyFont="1" applyBorder="1" applyAlignment="1">
      <alignment vertical="center" wrapText="1"/>
    </xf>
    <xf numFmtId="0" fontId="7" fillId="6" borderId="7" xfId="2" applyFont="1" applyFill="1" applyBorder="1" applyAlignment="1">
      <alignment vertical="center" wrapText="1"/>
    </xf>
    <xf numFmtId="0" fontId="7" fillId="6" borderId="5" xfId="2" applyFont="1" applyFill="1" applyBorder="1" applyAlignment="1">
      <alignment vertical="center" wrapText="1"/>
    </xf>
    <xf numFmtId="3" fontId="6" fillId="0" borderId="0" xfId="2" applyNumberFormat="1" applyFont="1"/>
    <xf numFmtId="0" fontId="7" fillId="0" borderId="2" xfId="2" applyFont="1" applyBorder="1" applyAlignment="1">
      <alignment vertical="center" wrapText="1"/>
    </xf>
    <xf numFmtId="0" fontId="7" fillId="0" borderId="1" xfId="2" applyFont="1" applyBorder="1" applyAlignment="1">
      <alignment horizontal="center" vertical="center" wrapText="1"/>
    </xf>
    <xf numFmtId="0" fontId="7" fillId="0" borderId="3" xfId="2" applyFont="1" applyBorder="1" applyAlignment="1">
      <alignment vertical="center" wrapText="1"/>
    </xf>
    <xf numFmtId="0" fontId="7" fillId="0" borderId="4" xfId="2" applyFont="1" applyBorder="1" applyAlignment="1">
      <alignment vertical="center" wrapText="1"/>
    </xf>
    <xf numFmtId="0" fontId="7" fillId="0" borderId="1" xfId="2" applyFont="1" applyBorder="1" applyAlignment="1">
      <alignment vertical="center" wrapText="1"/>
    </xf>
    <xf numFmtId="0" fontId="6" fillId="0" borderId="0" xfId="2" applyFont="1" applyAlignment="1">
      <alignment vertical="center"/>
    </xf>
    <xf numFmtId="1" fontId="7" fillId="0" borderId="1" xfId="2" applyNumberFormat="1" applyFont="1" applyBorder="1" applyAlignment="1">
      <alignment horizontal="center" vertical="center" wrapText="1"/>
    </xf>
    <xf numFmtId="0" fontId="2" fillId="7" borderId="0" xfId="0" applyFont="1" applyFill="1"/>
    <xf numFmtId="0" fontId="0" fillId="8" borderId="0" xfId="0" applyFill="1"/>
    <xf numFmtId="0" fontId="2" fillId="8" borderId="0" xfId="0" applyFont="1" applyFill="1"/>
    <xf numFmtId="0" fontId="3" fillId="3" borderId="0" xfId="0" applyFont="1" applyFill="1" applyAlignment="1">
      <alignment horizontal="center" vertical="center"/>
    </xf>
    <xf numFmtId="3" fontId="0" fillId="0" borderId="0" xfId="0" applyNumberFormat="1" applyAlignment="1">
      <alignment horizontal="right"/>
    </xf>
    <xf numFmtId="0" fontId="2" fillId="10" borderId="0" xfId="0" applyFont="1" applyFill="1" applyAlignment="1">
      <alignment vertical="center" wrapText="1"/>
    </xf>
    <xf numFmtId="0" fontId="2" fillId="10" borderId="0" xfId="0" applyFont="1" applyFill="1" applyAlignment="1">
      <alignment horizontal="center" vertical="center"/>
    </xf>
    <xf numFmtId="3" fontId="2" fillId="10" borderId="0" xfId="0" applyNumberFormat="1" applyFont="1" applyFill="1" applyAlignment="1">
      <alignment horizontal="right" vertical="center"/>
    </xf>
    <xf numFmtId="0" fontId="12" fillId="13" borderId="0" xfId="0" applyFont="1" applyFill="1" applyAlignment="1">
      <alignment vertical="center"/>
    </xf>
    <xf numFmtId="166" fontId="2" fillId="11" borderId="0" xfId="0" applyNumberFormat="1" applyFont="1" applyFill="1" applyAlignment="1">
      <alignment horizontal="right" vertical="center"/>
    </xf>
    <xf numFmtId="0" fontId="3" fillId="12" borderId="0" xfId="0" applyFont="1" applyFill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167" fontId="0" fillId="0" borderId="0" xfId="0" applyNumberFormat="1" applyAlignment="1">
      <alignment horizontal="center" vertical="center" wrapText="1"/>
    </xf>
    <xf numFmtId="166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68" fontId="0" fillId="0" borderId="0" xfId="0" applyNumberFormat="1" applyAlignment="1">
      <alignment horizontal="center" vertical="center" wrapText="1"/>
    </xf>
    <xf numFmtId="0" fontId="12" fillId="13" borderId="0" xfId="0" applyFont="1" applyFill="1"/>
    <xf numFmtId="0" fontId="2" fillId="15" borderId="0" xfId="0" applyFont="1" applyFill="1" applyAlignment="1">
      <alignment horizontal="right"/>
    </xf>
    <xf numFmtId="168" fontId="2" fillId="15" borderId="0" xfId="0" applyNumberFormat="1" applyFont="1" applyFill="1" applyAlignment="1">
      <alignment horizontal="right"/>
    </xf>
    <xf numFmtId="166" fontId="2" fillId="15" borderId="0" xfId="0" applyNumberFormat="1" applyFont="1" applyFill="1" applyAlignment="1">
      <alignment horizontal="right"/>
    </xf>
    <xf numFmtId="0" fontId="0" fillId="0" borderId="0" xfId="0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164" fontId="0" fillId="0" borderId="0" xfId="0" applyNumberFormat="1" applyAlignment="1">
      <alignment vertical="center" wrapText="1"/>
    </xf>
    <xf numFmtId="165" fontId="0" fillId="0" borderId="0" xfId="1" applyFont="1"/>
    <xf numFmtId="165" fontId="2" fillId="7" borderId="0" xfId="1" applyFont="1" applyFill="1"/>
    <xf numFmtId="165" fontId="0" fillId="8" borderId="0" xfId="1" applyFont="1" applyFill="1"/>
    <xf numFmtId="165" fontId="2" fillId="8" borderId="0" xfId="1" applyFont="1" applyFill="1"/>
    <xf numFmtId="165" fontId="6" fillId="0" borderId="0" xfId="1" applyFont="1"/>
    <xf numFmtId="165" fontId="6" fillId="0" borderId="0" xfId="2" applyNumberFormat="1" applyFont="1"/>
    <xf numFmtId="165" fontId="0" fillId="0" borderId="0" xfId="0" applyNumberFormat="1"/>
    <xf numFmtId="0" fontId="11" fillId="12" borderId="0" xfId="0" applyFont="1" applyFill="1" applyAlignment="1">
      <alignment horizontal="center" vertical="center"/>
    </xf>
    <xf numFmtId="0" fontId="13" fillId="14" borderId="0" xfId="0" applyFont="1" applyFill="1" applyAlignment="1">
      <alignment vertical="center" wrapText="1"/>
    </xf>
    <xf numFmtId="0" fontId="14" fillId="0" borderId="0" xfId="0" applyFont="1" applyAlignment="1">
      <alignment wrapText="1"/>
    </xf>
    <xf numFmtId="0" fontId="0" fillId="0" borderId="0" xfId="0"/>
    <xf numFmtId="0" fontId="2" fillId="2" borderId="0" xfId="0" applyFont="1" applyFill="1"/>
    <xf numFmtId="0" fontId="9" fillId="9" borderId="0" xfId="0" applyFont="1" applyFill="1"/>
    <xf numFmtId="0" fontId="10" fillId="11" borderId="0" xfId="0" applyFont="1" applyFill="1" applyAlignment="1">
      <alignment wrapText="1"/>
    </xf>
    <xf numFmtId="1" fontId="5" fillId="5" borderId="1" xfId="2" applyNumberFormat="1" applyFont="1" applyFill="1" applyBorder="1" applyAlignment="1">
      <alignment horizontal="center" vertical="center" wrapText="1"/>
    </xf>
    <xf numFmtId="0" fontId="7" fillId="6" borderId="1" xfId="2" applyFont="1" applyFill="1" applyBorder="1" applyAlignment="1">
      <alignment horizontal="center" vertical="center" wrapText="1"/>
    </xf>
    <xf numFmtId="0" fontId="7" fillId="0" borderId="1" xfId="2" applyFont="1" applyBorder="1" applyAlignment="1">
      <alignment horizontal="center" vertical="center" wrapText="1"/>
    </xf>
  </cellXfs>
  <cellStyles count="3">
    <cellStyle name="Millares [0]" xfId="1" builtinId="6"/>
    <cellStyle name="Normal" xfId="0" builtinId="0"/>
    <cellStyle name="Normal 2" xfId="2" xr:uid="{978B4998-C869-4B49-92A7-9F10E4BE19D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57400</xdr:colOff>
      <xdr:row>0</xdr:row>
      <xdr:rowOff>0</xdr:rowOff>
    </xdr:from>
    <xdr:to>
      <xdr:col>15</xdr:col>
      <xdr:colOff>256954</xdr:colOff>
      <xdr:row>8</xdr:row>
      <xdr:rowOff>35876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71E7A91-578A-447A-B85E-22D0CB0CFF8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763625" y="0"/>
          <a:ext cx="4257204" cy="1883726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123825</xdr:colOff>
      <xdr:row>1</xdr:row>
      <xdr:rowOff>0</xdr:rowOff>
    </xdr:from>
    <xdr:to>
      <xdr:col>18</xdr:col>
      <xdr:colOff>593725</xdr:colOff>
      <xdr:row>3</xdr:row>
      <xdr:rowOff>41275</xdr:rowOff>
    </xdr:to>
    <xdr:pic>
      <xdr:nvPicPr>
        <xdr:cNvPr id="2" name="Imagen 2" descr="logo_sii">
          <a:extLst>
            <a:ext uri="{FF2B5EF4-FFF2-40B4-BE49-F238E27FC236}">
              <a16:creationId xmlns:a16="http://schemas.microsoft.com/office/drawing/2014/main" id="{E7AD13BF-6954-4368-82B1-F0937B299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06550" y="161925"/>
          <a:ext cx="123190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19</xdr:col>
      <xdr:colOff>116416</xdr:colOff>
      <xdr:row>0</xdr:row>
      <xdr:rowOff>158750</xdr:rowOff>
    </xdr:from>
    <xdr:to>
      <xdr:col>20</xdr:col>
      <xdr:colOff>586316</xdr:colOff>
      <xdr:row>3</xdr:row>
      <xdr:rowOff>9525</xdr:rowOff>
    </xdr:to>
    <xdr:pic>
      <xdr:nvPicPr>
        <xdr:cNvPr id="2" name="Imagen 2" descr="logo_sii">
          <a:extLst>
            <a:ext uri="{FF2B5EF4-FFF2-40B4-BE49-F238E27FC236}">
              <a16:creationId xmlns:a16="http://schemas.microsoft.com/office/drawing/2014/main" id="{573EAAE8-4507-4C4D-9CB9-209F00B60E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99166" y="158750"/>
          <a:ext cx="1231900" cy="517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32</xdr:row>
          <xdr:rowOff>0</xdr:rowOff>
        </xdr:from>
        <xdr:to>
          <xdr:col>8</xdr:col>
          <xdr:colOff>495300</xdr:colOff>
          <xdr:row>36</xdr:row>
          <xdr:rowOff>47625</xdr:rowOff>
        </xdr:to>
        <xdr:pic>
          <xdr:nvPicPr>
            <xdr:cNvPr id="4" name="Imagen 3">
              <a:extLst>
                <a:ext uri="{FF2B5EF4-FFF2-40B4-BE49-F238E27FC236}">
                  <a16:creationId xmlns:a16="http://schemas.microsoft.com/office/drawing/2014/main" id="{66A26168-EEC9-1FE9-26C0-A3A790584B9C}"/>
                </a:ext>
              </a:extLst>
            </xdr:cNvPr>
            <xdr:cNvPicPr>
              <a:picLocks noChangeAspect="1" noChangeArrowheads="1"/>
              <a:extLst>
                <a:ext uri="{84589F7E-364E-4C9E-8A38-B11213B215E9}">
                  <a14:cameraTool cellRange="'Tabla IGC'!$A$3:$B$6" spid="_x0000_s7205"/>
                </a:ext>
              </a:extLst>
            </xdr:cNvPicPr>
          </xdr:nvPicPr>
          <xdr:blipFill>
            <a:blip xmlns:r="http://schemas.openxmlformats.org/officeDocument/2006/relationships" r:embed="rId1"/>
            <a:srcRect/>
            <a:stretch>
              <a:fillRect/>
            </a:stretch>
          </xdr:blipFill>
          <xdr:spPr bwMode="auto">
            <a:xfrm>
              <a:off x="3743325" y="7105650"/>
              <a:ext cx="3867150" cy="771525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pic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Downloads/about:blank" TargetMode="External"/><Relationship Id="rId1" Type="http://schemas.openxmlformats.org/officeDocument/2006/relationships/externalLinkPath" Target="/Users/hansherrerabravo/Downloads/about:blank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Registrar  AT.Actual"/>
      <sheetName val="Registrar  AT.-1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8A8B26-E859-44FD-A8B7-1D03332D12A9}">
  <dimension ref="A1:I25"/>
  <sheetViews>
    <sheetView zoomScale="177" workbookViewId="0">
      <selection activeCell="B6" sqref="B6"/>
    </sheetView>
  </sheetViews>
  <sheetFormatPr baseColWidth="10" defaultColWidth="8.83203125" defaultRowHeight="14"/>
  <cols>
    <col min="1" max="1" width="32" customWidth="1"/>
    <col min="2" max="2" width="18.6640625" customWidth="1"/>
    <col min="3" max="3" width="13" customWidth="1"/>
    <col min="4" max="5" width="17" customWidth="1"/>
    <col min="6" max="6" width="12" customWidth="1"/>
    <col min="7" max="7" width="10" customWidth="1"/>
    <col min="8" max="8" width="13" customWidth="1"/>
    <col min="9" max="9" width="21" customWidth="1"/>
  </cols>
  <sheetData>
    <row r="1" spans="1:9" ht="42.75" customHeight="1">
      <c r="A1" s="62" t="s">
        <v>119</v>
      </c>
      <c r="B1" s="62"/>
      <c r="C1" s="62"/>
      <c r="D1" s="62"/>
      <c r="E1" s="62"/>
      <c r="F1" s="62"/>
      <c r="G1" s="62"/>
      <c r="H1" s="62"/>
      <c r="I1" s="62"/>
    </row>
    <row r="3" spans="1:9" ht="15">
      <c r="A3" s="38" t="s">
        <v>120</v>
      </c>
      <c r="B3" s="39">
        <v>69542</v>
      </c>
      <c r="D3" s="63" t="s">
        <v>121</v>
      </c>
      <c r="E3" s="63"/>
      <c r="F3" s="63"/>
      <c r="G3" s="63"/>
      <c r="H3" s="63"/>
      <c r="I3" s="63"/>
    </row>
    <row r="4" spans="1:9" ht="15">
      <c r="A4" s="38" t="s">
        <v>122</v>
      </c>
      <c r="B4" s="39">
        <f>B3*12</f>
        <v>834504</v>
      </c>
      <c r="D4" s="63"/>
      <c r="E4" s="63"/>
      <c r="F4" s="63"/>
      <c r="G4" s="63"/>
      <c r="H4" s="63"/>
      <c r="I4" s="63"/>
    </row>
    <row r="5" spans="1:9" ht="15">
      <c r="A5" s="38" t="s">
        <v>123</v>
      </c>
      <c r="B5" s="39">
        <f>EJERCICIO!C36</f>
        <v>33571426</v>
      </c>
      <c r="D5" s="63"/>
      <c r="E5" s="63"/>
      <c r="F5" s="63"/>
      <c r="G5" s="63"/>
      <c r="H5" s="63"/>
      <c r="I5" s="63"/>
    </row>
    <row r="6" spans="1:9" ht="15">
      <c r="A6" s="38" t="s">
        <v>124</v>
      </c>
      <c r="B6" s="39">
        <f>IF(B5&lt;=0,0,MAX(0,B5*LOOKUP(B5,D10:D17,G10:G17)-LOOKUP(B5,D10:D17,I10:I17)))</f>
        <v>1233677.1200000001</v>
      </c>
      <c r="D6" s="63"/>
      <c r="E6" s="63"/>
      <c r="F6" s="63"/>
      <c r="G6" s="63"/>
      <c r="H6" s="63"/>
      <c r="I6" s="63"/>
    </row>
    <row r="9" spans="1:9" ht="50.75" customHeight="1">
      <c r="A9" s="40" t="s">
        <v>125</v>
      </c>
      <c r="B9" s="40" t="s">
        <v>126</v>
      </c>
      <c r="C9" s="40" t="s">
        <v>127</v>
      </c>
      <c r="D9" s="40" t="s">
        <v>128</v>
      </c>
      <c r="E9" s="40" t="s">
        <v>129</v>
      </c>
      <c r="F9" s="40" t="s">
        <v>130</v>
      </c>
      <c r="G9" s="40" t="s">
        <v>131</v>
      </c>
      <c r="H9" s="40" t="s">
        <v>132</v>
      </c>
      <c r="I9" s="40" t="s">
        <v>133</v>
      </c>
    </row>
    <row r="10" spans="1:9" ht="15">
      <c r="A10" s="41" t="s">
        <v>134</v>
      </c>
      <c r="B10" s="42">
        <v>0</v>
      </c>
      <c r="C10" s="42">
        <v>13.5</v>
      </c>
      <c r="D10" s="43">
        <f t="shared" ref="D10:E16" si="0">B10*$B$4</f>
        <v>0</v>
      </c>
      <c r="E10" s="43">
        <f t="shared" si="0"/>
        <v>11265804</v>
      </c>
      <c r="F10" s="44" t="s">
        <v>135</v>
      </c>
      <c r="G10" s="45">
        <v>0</v>
      </c>
      <c r="H10" s="45">
        <v>0</v>
      </c>
      <c r="I10" s="43">
        <f t="shared" ref="I10:I17" si="1">H10*$B$4</f>
        <v>0</v>
      </c>
    </row>
    <row r="11" spans="1:9" ht="15">
      <c r="A11" s="41" t="s">
        <v>136</v>
      </c>
      <c r="B11" s="42">
        <v>13.5</v>
      </c>
      <c r="C11" s="42">
        <v>30</v>
      </c>
      <c r="D11" s="43">
        <f t="shared" si="0"/>
        <v>11265804</v>
      </c>
      <c r="E11" s="43">
        <f t="shared" si="0"/>
        <v>25035120</v>
      </c>
      <c r="F11" s="44" t="s">
        <v>137</v>
      </c>
      <c r="G11" s="45">
        <v>0.04</v>
      </c>
      <c r="H11" s="45">
        <v>0.54</v>
      </c>
      <c r="I11" s="43">
        <f t="shared" si="1"/>
        <v>450632.16000000003</v>
      </c>
    </row>
    <row r="12" spans="1:9" ht="15">
      <c r="A12" s="41" t="s">
        <v>138</v>
      </c>
      <c r="B12" s="42">
        <v>30</v>
      </c>
      <c r="C12" s="42">
        <v>50</v>
      </c>
      <c r="D12" s="43">
        <f t="shared" si="0"/>
        <v>25035120</v>
      </c>
      <c r="E12" s="43">
        <f t="shared" si="0"/>
        <v>41725200</v>
      </c>
      <c r="F12" s="44" t="s">
        <v>139</v>
      </c>
      <c r="G12" s="45">
        <v>0.08</v>
      </c>
      <c r="H12" s="45">
        <v>1.74</v>
      </c>
      <c r="I12" s="43">
        <f t="shared" si="1"/>
        <v>1452036.96</v>
      </c>
    </row>
    <row r="13" spans="1:9" ht="15">
      <c r="A13" s="41" t="s">
        <v>140</v>
      </c>
      <c r="B13" s="42">
        <v>50</v>
      </c>
      <c r="C13" s="42">
        <v>70</v>
      </c>
      <c r="D13" s="43">
        <f t="shared" si="0"/>
        <v>41725200</v>
      </c>
      <c r="E13" s="43">
        <f t="shared" si="0"/>
        <v>58415280</v>
      </c>
      <c r="F13" s="44" t="s">
        <v>141</v>
      </c>
      <c r="G13" s="45">
        <v>0.13500000000000001</v>
      </c>
      <c r="H13" s="45">
        <v>4.49</v>
      </c>
      <c r="I13" s="43">
        <f t="shared" si="1"/>
        <v>3746922.96</v>
      </c>
    </row>
    <row r="14" spans="1:9" ht="15">
      <c r="A14" s="41" t="s">
        <v>142</v>
      </c>
      <c r="B14" s="42">
        <v>70</v>
      </c>
      <c r="C14" s="42">
        <v>90</v>
      </c>
      <c r="D14" s="43">
        <f t="shared" si="0"/>
        <v>58415280</v>
      </c>
      <c r="E14" s="43">
        <f t="shared" si="0"/>
        <v>75105360</v>
      </c>
      <c r="F14" s="44" t="s">
        <v>143</v>
      </c>
      <c r="G14" s="45">
        <v>0.23</v>
      </c>
      <c r="H14" s="45">
        <v>11.14</v>
      </c>
      <c r="I14" s="43">
        <f t="shared" si="1"/>
        <v>9296374.5600000005</v>
      </c>
    </row>
    <row r="15" spans="1:9" ht="15">
      <c r="A15" s="41" t="s">
        <v>144</v>
      </c>
      <c r="B15" s="42">
        <v>90</v>
      </c>
      <c r="C15" s="42">
        <v>120</v>
      </c>
      <c r="D15" s="43">
        <f t="shared" si="0"/>
        <v>75105360</v>
      </c>
      <c r="E15" s="43">
        <f t="shared" si="0"/>
        <v>100140480</v>
      </c>
      <c r="F15" s="44" t="s">
        <v>145</v>
      </c>
      <c r="G15" s="45">
        <v>0.30399999999999999</v>
      </c>
      <c r="H15" s="45">
        <v>17.8</v>
      </c>
      <c r="I15" s="43">
        <f t="shared" si="1"/>
        <v>14854171.200000001</v>
      </c>
    </row>
    <row r="16" spans="1:9" ht="15">
      <c r="A16" s="41" t="s">
        <v>146</v>
      </c>
      <c r="B16" s="42">
        <v>120</v>
      </c>
      <c r="C16" s="42">
        <v>310</v>
      </c>
      <c r="D16" s="43">
        <f t="shared" si="0"/>
        <v>100140480</v>
      </c>
      <c r="E16" s="43">
        <f t="shared" si="0"/>
        <v>258696240</v>
      </c>
      <c r="F16" s="44" t="s">
        <v>147</v>
      </c>
      <c r="G16" s="45">
        <v>0.35</v>
      </c>
      <c r="H16" s="45">
        <v>23.32</v>
      </c>
      <c r="I16" s="43">
        <f t="shared" si="1"/>
        <v>19460633.280000001</v>
      </c>
    </row>
    <row r="17" spans="1:9" ht="15">
      <c r="A17" s="41" t="s">
        <v>148</v>
      </c>
      <c r="B17" s="42">
        <v>310</v>
      </c>
      <c r="C17" s="42"/>
      <c r="D17" s="43">
        <f>B17*$B$4</f>
        <v>258696240</v>
      </c>
      <c r="E17" s="43" t="str">
        <f>"Sin tope"</f>
        <v>Sin tope</v>
      </c>
      <c r="F17" s="44" t="s">
        <v>149</v>
      </c>
      <c r="G17" s="45">
        <v>0.4</v>
      </c>
      <c r="H17" s="45">
        <v>38.82</v>
      </c>
      <c r="I17" s="43">
        <f t="shared" si="1"/>
        <v>32395445.280000001</v>
      </c>
    </row>
    <row r="20" spans="1:9" ht="15">
      <c r="A20" s="46" t="s">
        <v>150</v>
      </c>
      <c r="B20" s="47" t="str">
        <f>IF(B5&lt;=0,"Sin renta ingresada",LOOKUP(B5,D10:D17,A10:A17))</f>
        <v>30 a 50 UTA</v>
      </c>
    </row>
    <row r="21" spans="1:9" ht="15">
      <c r="A21" s="46" t="s">
        <v>151</v>
      </c>
      <c r="B21" s="48">
        <f>IF(B5&lt;=0,0,LOOKUP(B5,D10:D17,G10:G17))</f>
        <v>0.08</v>
      </c>
    </row>
    <row r="22" spans="1:9" ht="15">
      <c r="A22" s="46" t="s">
        <v>152</v>
      </c>
      <c r="B22" s="49">
        <f>IF(B5&lt;=0,0,LOOKUP(B5,D10:D17,I10:I17))</f>
        <v>1452036.96</v>
      </c>
    </row>
    <row r="23" spans="1:9" ht="15">
      <c r="A23" s="46" t="s">
        <v>153</v>
      </c>
      <c r="B23" s="49">
        <f>B5</f>
        <v>33571426</v>
      </c>
    </row>
    <row r="25" spans="1:9" ht="15">
      <c r="A25" s="64" t="s">
        <v>154</v>
      </c>
      <c r="B25" s="65"/>
      <c r="C25" s="65"/>
      <c r="D25" s="65"/>
      <c r="E25" s="65"/>
      <c r="F25" s="65"/>
      <c r="G25" s="65"/>
      <c r="H25" s="65"/>
      <c r="I25" s="65"/>
    </row>
  </sheetData>
  <mergeCells count="3">
    <mergeCell ref="A1:I1"/>
    <mergeCell ref="D3:I6"/>
    <mergeCell ref="A25:I2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0"/>
  <sheetViews>
    <sheetView topLeftCell="A22" workbookViewId="0">
      <selection activeCell="C40" sqref="C40"/>
    </sheetView>
  </sheetViews>
  <sheetFormatPr baseColWidth="10" defaultColWidth="9" defaultRowHeight="14"/>
  <cols>
    <col min="1" max="1" width="88" customWidth="1"/>
    <col min="2" max="2" width="12" customWidth="1"/>
    <col min="3" max="3" width="22" customWidth="1"/>
    <col min="4" max="4" width="14" customWidth="1"/>
  </cols>
  <sheetData>
    <row r="1" spans="1:4" ht="24" customHeight="1">
      <c r="A1" s="66" t="s">
        <v>0</v>
      </c>
      <c r="B1" s="66"/>
      <c r="C1" s="66"/>
      <c r="D1" s="66"/>
    </row>
    <row r="2" spans="1:4" ht="22" customHeight="1">
      <c r="A2" s="1" t="s">
        <v>1</v>
      </c>
      <c r="B2" s="1" t="s">
        <v>2</v>
      </c>
      <c r="C2" s="1" t="s">
        <v>3</v>
      </c>
      <c r="D2" s="1" t="s">
        <v>4</v>
      </c>
    </row>
    <row r="3" spans="1:4" ht="20" customHeight="1">
      <c r="A3" s="2" t="s">
        <v>5</v>
      </c>
      <c r="B3" s="3">
        <v>1400</v>
      </c>
      <c r="C3" s="4">
        <v>30000000</v>
      </c>
      <c r="D3" s="5" t="s">
        <v>6</v>
      </c>
    </row>
    <row r="4" spans="1:4" ht="20" customHeight="1">
      <c r="A4" s="2" t="s">
        <v>7</v>
      </c>
      <c r="B4" s="3">
        <v>1817</v>
      </c>
      <c r="C4" s="4"/>
      <c r="D4" s="5" t="s">
        <v>6</v>
      </c>
    </row>
    <row r="5" spans="1:4" ht="20" customHeight="1">
      <c r="A5" s="2" t="s">
        <v>8</v>
      </c>
      <c r="B5" s="3">
        <v>1401</v>
      </c>
      <c r="C5" s="4"/>
      <c r="D5" s="5" t="s">
        <v>6</v>
      </c>
    </row>
    <row r="6" spans="1:4" ht="20" customHeight="1">
      <c r="A6" s="2" t="s">
        <v>9</v>
      </c>
      <c r="B6" s="3">
        <v>1402</v>
      </c>
      <c r="C6" s="4"/>
      <c r="D6" s="5" t="s">
        <v>6</v>
      </c>
    </row>
    <row r="7" spans="1:4" ht="20" customHeight="1">
      <c r="A7" s="2" t="s">
        <v>10</v>
      </c>
      <c r="B7" s="3">
        <v>1403</v>
      </c>
      <c r="C7" s="4"/>
      <c r="D7" s="5" t="s">
        <v>6</v>
      </c>
    </row>
    <row r="8" spans="1:4" ht="20" customHeight="1">
      <c r="A8" s="2" t="s">
        <v>11</v>
      </c>
      <c r="B8" s="3">
        <v>1587</v>
      </c>
      <c r="C8" s="4"/>
      <c r="D8" s="5" t="s">
        <v>6</v>
      </c>
    </row>
    <row r="9" spans="1:4" ht="20" customHeight="1">
      <c r="A9" s="2" t="s">
        <v>12</v>
      </c>
      <c r="B9" s="3">
        <v>1588</v>
      </c>
      <c r="C9" s="4"/>
      <c r="D9" s="5" t="s">
        <v>6</v>
      </c>
    </row>
    <row r="10" spans="1:4" ht="20" customHeight="1">
      <c r="A10" s="2" t="s">
        <v>13</v>
      </c>
      <c r="B10" s="3">
        <v>1404</v>
      </c>
      <c r="C10" s="4"/>
      <c r="D10" s="5" t="s">
        <v>6</v>
      </c>
    </row>
    <row r="11" spans="1:4" ht="20" customHeight="1">
      <c r="A11" s="2" t="s">
        <v>14</v>
      </c>
      <c r="B11" s="3">
        <v>1405</v>
      </c>
      <c r="C11" s="4"/>
      <c r="D11" s="5" t="s">
        <v>6</v>
      </c>
    </row>
    <row r="12" spans="1:4" ht="20" customHeight="1">
      <c r="A12" s="6" t="s">
        <v>15</v>
      </c>
      <c r="B12" s="7">
        <v>1410</v>
      </c>
      <c r="C12" s="8">
        <f>+C3+C4+C5+C6+C7+C8+C9+C10+C11</f>
        <v>30000000</v>
      </c>
      <c r="D12" s="9" t="s">
        <v>16</v>
      </c>
    </row>
    <row r="13" spans="1:4" ht="20" customHeight="1">
      <c r="A13" s="2" t="s">
        <v>17</v>
      </c>
      <c r="B13" s="3">
        <v>1406</v>
      </c>
      <c r="C13" s="4"/>
      <c r="D13" s="5" t="s">
        <v>18</v>
      </c>
    </row>
    <row r="14" spans="1:4" ht="20" customHeight="1">
      <c r="A14" s="2" t="s">
        <v>19</v>
      </c>
      <c r="B14" s="3">
        <v>1407</v>
      </c>
      <c r="C14" s="4"/>
      <c r="D14" s="5" t="s">
        <v>18</v>
      </c>
    </row>
    <row r="15" spans="1:4" ht="20" customHeight="1">
      <c r="A15" s="2" t="s">
        <v>20</v>
      </c>
      <c r="B15" s="3">
        <v>1408</v>
      </c>
      <c r="C15" s="4"/>
      <c r="D15" s="5" t="s">
        <v>18</v>
      </c>
    </row>
    <row r="16" spans="1:4" ht="20" customHeight="1">
      <c r="A16" s="2" t="s">
        <v>21</v>
      </c>
      <c r="B16" s="3">
        <v>1409</v>
      </c>
      <c r="C16" s="4">
        <v>6000000</v>
      </c>
      <c r="D16" s="5" t="s">
        <v>18</v>
      </c>
    </row>
    <row r="17" spans="1:5" ht="30">
      <c r="A17" s="2" t="s">
        <v>22</v>
      </c>
      <c r="B17" s="3">
        <v>1818</v>
      </c>
      <c r="C17" s="4"/>
      <c r="D17" s="5" t="s">
        <v>18</v>
      </c>
    </row>
    <row r="18" spans="1:5" ht="20" customHeight="1">
      <c r="A18" s="2" t="s">
        <v>23</v>
      </c>
      <c r="B18" s="3">
        <v>1429</v>
      </c>
      <c r="C18" s="4"/>
      <c r="D18" s="5" t="s">
        <v>18</v>
      </c>
    </row>
    <row r="19" spans="1:5" ht="20" customHeight="1">
      <c r="A19" s="2" t="s">
        <v>24</v>
      </c>
      <c r="B19" s="3">
        <v>1411</v>
      </c>
      <c r="C19" s="4"/>
      <c r="D19" s="5" t="s">
        <v>18</v>
      </c>
    </row>
    <row r="20" spans="1:5" ht="20" customHeight="1">
      <c r="A20" s="2" t="s">
        <v>25</v>
      </c>
      <c r="B20" s="3">
        <v>1412</v>
      </c>
      <c r="C20" s="4"/>
      <c r="D20" s="5" t="s">
        <v>18</v>
      </c>
    </row>
    <row r="21" spans="1:5" ht="20" customHeight="1">
      <c r="A21" s="2" t="s">
        <v>26</v>
      </c>
      <c r="B21" s="3">
        <v>1413</v>
      </c>
      <c r="C21" s="4">
        <v>2000000</v>
      </c>
      <c r="D21" s="5" t="s">
        <v>18</v>
      </c>
      <c r="E21" t="s">
        <v>168</v>
      </c>
    </row>
    <row r="22" spans="1:5" ht="20" customHeight="1">
      <c r="A22" s="2" t="s">
        <v>27</v>
      </c>
      <c r="B22" s="3">
        <v>1415</v>
      </c>
      <c r="C22" s="4"/>
      <c r="D22" s="5" t="s">
        <v>18</v>
      </c>
    </row>
    <row r="23" spans="1:5" ht="20" customHeight="1">
      <c r="A23" s="2" t="s">
        <v>28</v>
      </c>
      <c r="B23" s="3">
        <v>1416</v>
      </c>
      <c r="C23" s="4"/>
      <c r="D23" s="5" t="s">
        <v>18</v>
      </c>
    </row>
    <row r="24" spans="1:5" ht="20" customHeight="1">
      <c r="A24" s="2" t="s">
        <v>29</v>
      </c>
      <c r="B24" s="3">
        <v>1417</v>
      </c>
      <c r="C24" s="4"/>
      <c r="D24" s="5" t="s">
        <v>18</v>
      </c>
    </row>
    <row r="25" spans="1:5" ht="20" customHeight="1">
      <c r="A25" s="2" t="s">
        <v>30</v>
      </c>
      <c r="B25" s="3">
        <v>1418</v>
      </c>
      <c r="C25" s="4"/>
      <c r="D25" s="5" t="s">
        <v>18</v>
      </c>
    </row>
    <row r="26" spans="1:5" ht="20" customHeight="1">
      <c r="A26" s="2" t="s">
        <v>31</v>
      </c>
      <c r="B26" s="3">
        <v>1419</v>
      </c>
      <c r="C26" s="4"/>
      <c r="D26" s="5" t="s">
        <v>18</v>
      </c>
    </row>
    <row r="27" spans="1:5" ht="20" customHeight="1">
      <c r="A27" s="2" t="s">
        <v>32</v>
      </c>
      <c r="B27" s="3">
        <v>1421</v>
      </c>
      <c r="C27" s="4"/>
      <c r="D27" s="5" t="s">
        <v>18</v>
      </c>
    </row>
    <row r="28" spans="1:5" ht="20" customHeight="1">
      <c r="A28" s="2" t="s">
        <v>33</v>
      </c>
      <c r="B28" s="3">
        <v>1422</v>
      </c>
      <c r="C28" s="4"/>
      <c r="D28" s="5" t="s">
        <v>18</v>
      </c>
    </row>
    <row r="29" spans="1:5" ht="20" customHeight="1">
      <c r="A29" s="2" t="s">
        <v>34</v>
      </c>
      <c r="B29" s="3">
        <v>1423</v>
      </c>
      <c r="C29" s="4"/>
      <c r="D29" s="5" t="s">
        <v>18</v>
      </c>
    </row>
    <row r="30" spans="1:5" ht="20" customHeight="1">
      <c r="A30" s="2" t="s">
        <v>35</v>
      </c>
      <c r="B30" s="3">
        <v>1424</v>
      </c>
      <c r="C30" s="4"/>
      <c r="D30" s="5" t="s">
        <v>18</v>
      </c>
    </row>
    <row r="31" spans="1:5" ht="15">
      <c r="A31" s="2" t="s">
        <v>36</v>
      </c>
      <c r="B31" s="3">
        <v>1425</v>
      </c>
      <c r="C31" s="4"/>
      <c r="D31" s="5" t="s">
        <v>18</v>
      </c>
    </row>
    <row r="32" spans="1:5" ht="20" customHeight="1">
      <c r="A32" s="2" t="s">
        <v>37</v>
      </c>
      <c r="B32" s="3">
        <v>1426</v>
      </c>
      <c r="C32" s="4"/>
      <c r="D32" s="5" t="s">
        <v>18</v>
      </c>
    </row>
    <row r="33" spans="1:4" ht="20" customHeight="1">
      <c r="A33" s="2" t="s">
        <v>38</v>
      </c>
      <c r="B33" s="3">
        <v>1427</v>
      </c>
      <c r="C33" s="4"/>
      <c r="D33" s="5" t="s">
        <v>18</v>
      </c>
    </row>
    <row r="34" spans="1:4" ht="20" customHeight="1">
      <c r="A34" s="2" t="s">
        <v>39</v>
      </c>
      <c r="B34" s="3">
        <v>1428</v>
      </c>
      <c r="C34" s="4"/>
      <c r="D34" s="5" t="s">
        <v>18</v>
      </c>
    </row>
    <row r="35" spans="1:4" ht="20" customHeight="1">
      <c r="A35" s="6" t="s">
        <v>40</v>
      </c>
      <c r="B35" s="7">
        <v>1430</v>
      </c>
      <c r="C35" s="8">
        <f>SUM(C13:C34)</f>
        <v>8000000</v>
      </c>
      <c r="D35" s="9" t="s">
        <v>16</v>
      </c>
    </row>
    <row r="36" spans="1:4" ht="30">
      <c r="A36" s="2" t="s">
        <v>41</v>
      </c>
      <c r="B36" s="3">
        <v>1431</v>
      </c>
      <c r="C36" s="4">
        <f>+C28</f>
        <v>0</v>
      </c>
      <c r="D36" s="5" t="s">
        <v>6</v>
      </c>
    </row>
    <row r="37" spans="1:4" ht="30">
      <c r="A37" s="2" t="s">
        <v>42</v>
      </c>
      <c r="B37" s="3">
        <v>1729</v>
      </c>
      <c r="C37" s="4">
        <f>C12-C35+C36</f>
        <v>22000000</v>
      </c>
      <c r="D37" s="5" t="s">
        <v>16</v>
      </c>
    </row>
    <row r="38" spans="1:4" ht="20" customHeight="1">
      <c r="A38" s="2" t="s">
        <v>43</v>
      </c>
      <c r="B38" s="3">
        <v>1432</v>
      </c>
      <c r="C38" s="4"/>
      <c r="D38" s="5" t="s">
        <v>18</v>
      </c>
    </row>
    <row r="39" spans="1:4" ht="20" customHeight="1">
      <c r="A39" s="2" t="s">
        <v>44</v>
      </c>
      <c r="B39" s="3">
        <v>1433</v>
      </c>
      <c r="C39" s="4"/>
      <c r="D39" s="5" t="s">
        <v>18</v>
      </c>
    </row>
    <row r="40" spans="1:4" ht="20" customHeight="1">
      <c r="A40" s="2" t="s">
        <v>45</v>
      </c>
      <c r="B40" s="3">
        <v>1440</v>
      </c>
      <c r="C40" s="4">
        <f>+C37-C38-C39</f>
        <v>22000000</v>
      </c>
      <c r="D40" s="5" t="s">
        <v>16</v>
      </c>
    </row>
  </sheetData>
  <mergeCells count="1">
    <mergeCell ref="A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ADE1C6-3454-4798-B071-07C304FF2517}">
  <dimension ref="A1:F11"/>
  <sheetViews>
    <sheetView workbookViewId="0">
      <selection activeCell="C16" sqref="C16"/>
    </sheetView>
  </sheetViews>
  <sheetFormatPr baseColWidth="10" defaultColWidth="9" defaultRowHeight="14"/>
  <cols>
    <col min="1" max="1" width="85" customWidth="1"/>
    <col min="2" max="2" width="12" customWidth="1"/>
    <col min="3" max="3" width="18" style="55" customWidth="1"/>
    <col min="4" max="4" width="8" customWidth="1"/>
  </cols>
  <sheetData>
    <row r="1" spans="1:6" ht="15">
      <c r="A1" s="30" t="s">
        <v>85</v>
      </c>
      <c r="B1" s="30" t="s">
        <v>86</v>
      </c>
      <c r="C1" s="56" t="s">
        <v>87</v>
      </c>
      <c r="D1" s="30" t="s">
        <v>88</v>
      </c>
    </row>
    <row r="2" spans="1:6">
      <c r="A2" s="31" t="s">
        <v>89</v>
      </c>
      <c r="B2" s="31">
        <v>1703</v>
      </c>
      <c r="C2" s="57">
        <v>14000000</v>
      </c>
      <c r="D2" s="31" t="s">
        <v>6</v>
      </c>
      <c r="F2" t="s">
        <v>169</v>
      </c>
    </row>
    <row r="3" spans="1:6">
      <c r="A3" s="31" t="s">
        <v>90</v>
      </c>
      <c r="B3" s="31">
        <v>1719</v>
      </c>
      <c r="C3" s="57"/>
      <c r="D3" s="31" t="s">
        <v>18</v>
      </c>
      <c r="F3" t="s">
        <v>170</v>
      </c>
    </row>
    <row r="4" spans="1:6">
      <c r="A4" s="31" t="s">
        <v>91</v>
      </c>
      <c r="B4" s="31">
        <v>1492</v>
      </c>
      <c r="C4" s="57"/>
      <c r="D4" s="31" t="s">
        <v>6</v>
      </c>
    </row>
    <row r="5" spans="1:6">
      <c r="A5" s="31" t="s">
        <v>92</v>
      </c>
      <c r="B5" s="31">
        <v>1704</v>
      </c>
      <c r="C5" s="57">
        <v>18000000</v>
      </c>
      <c r="D5" s="31" t="s">
        <v>6</v>
      </c>
    </row>
    <row r="6" spans="1:6" ht="15">
      <c r="A6" s="32" t="s">
        <v>93</v>
      </c>
      <c r="B6" s="32">
        <v>1720</v>
      </c>
      <c r="C6" s="58">
        <f>+C2+C4+C5-C3</f>
        <v>32000000</v>
      </c>
      <c r="D6" s="32" t="s">
        <v>16</v>
      </c>
    </row>
    <row r="7" spans="1:6">
      <c r="A7" s="31" t="s">
        <v>94</v>
      </c>
      <c r="B7" s="31">
        <v>1493</v>
      </c>
      <c r="C7" s="57"/>
      <c r="D7" s="31" t="s">
        <v>18</v>
      </c>
    </row>
    <row r="8" spans="1:6">
      <c r="A8" s="31" t="s">
        <v>95</v>
      </c>
      <c r="B8" s="31">
        <v>1494</v>
      </c>
      <c r="C8" s="57">
        <v>10000000</v>
      </c>
      <c r="D8" s="31" t="s">
        <v>18</v>
      </c>
    </row>
    <row r="9" spans="1:6">
      <c r="A9" s="31" t="s">
        <v>96</v>
      </c>
      <c r="B9" s="31">
        <v>1725</v>
      </c>
      <c r="C9" s="57"/>
      <c r="D9" s="31" t="s">
        <v>18</v>
      </c>
    </row>
    <row r="10" spans="1:6">
      <c r="A10" s="31" t="s">
        <v>97</v>
      </c>
      <c r="B10" s="31">
        <v>1727</v>
      </c>
      <c r="C10" s="57"/>
      <c r="D10" s="31" t="s">
        <v>18</v>
      </c>
    </row>
    <row r="11" spans="1:6" ht="15">
      <c r="A11" s="32" t="s">
        <v>98</v>
      </c>
      <c r="B11" s="32">
        <v>1500</v>
      </c>
      <c r="C11" s="58">
        <f>+C6-C7-C8-C9-C10</f>
        <v>22000000</v>
      </c>
      <c r="D11" s="32" t="s">
        <v>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A98801-CFCD-46F4-BF2A-59610AF49184}">
  <dimension ref="A1:D26"/>
  <sheetViews>
    <sheetView topLeftCell="A6" workbookViewId="0">
      <selection activeCell="A23" sqref="A23:C23"/>
    </sheetView>
  </sheetViews>
  <sheetFormatPr baseColWidth="10" defaultColWidth="9" defaultRowHeight="14"/>
  <cols>
    <col min="1" max="1" width="80" customWidth="1"/>
    <col min="2" max="2" width="12" customWidth="1"/>
    <col min="3" max="3" width="18" customWidth="1"/>
    <col min="4" max="4" width="10" customWidth="1"/>
  </cols>
  <sheetData>
    <row r="1" spans="1:4" ht="24" customHeight="1">
      <c r="A1" s="67" t="s">
        <v>99</v>
      </c>
      <c r="B1" s="67" t="s">
        <v>99</v>
      </c>
      <c r="C1" s="67" t="s">
        <v>99</v>
      </c>
      <c r="D1" s="67" t="s">
        <v>99</v>
      </c>
    </row>
    <row r="3" spans="1:4" ht="15">
      <c r="A3" s="33" t="s">
        <v>85</v>
      </c>
      <c r="B3" s="33" t="s">
        <v>86</v>
      </c>
      <c r="C3" s="33" t="s">
        <v>87</v>
      </c>
      <c r="D3" s="33" t="s">
        <v>88</v>
      </c>
    </row>
    <row r="4" spans="1:4" ht="24" customHeight="1">
      <c r="A4" s="2" t="s">
        <v>100</v>
      </c>
      <c r="B4" s="3">
        <v>1445</v>
      </c>
      <c r="C4" s="34"/>
      <c r="D4" s="3" t="s">
        <v>6</v>
      </c>
    </row>
    <row r="5" spans="1:4" ht="24" customHeight="1">
      <c r="A5" s="2" t="s">
        <v>101</v>
      </c>
      <c r="B5" s="3">
        <v>1446</v>
      </c>
      <c r="C5" s="34"/>
      <c r="D5" s="3" t="s">
        <v>18</v>
      </c>
    </row>
    <row r="6" spans="1:4" ht="30">
      <c r="A6" s="2" t="s">
        <v>102</v>
      </c>
      <c r="B6" s="3">
        <v>1374</v>
      </c>
      <c r="C6" s="34">
        <v>10000000</v>
      </c>
      <c r="D6" s="3" t="s">
        <v>6</v>
      </c>
    </row>
    <row r="7" spans="1:4" ht="24" customHeight="1">
      <c r="A7" s="2" t="s">
        <v>103</v>
      </c>
      <c r="B7" s="3">
        <v>1375</v>
      </c>
      <c r="C7" s="34"/>
      <c r="D7" s="3" t="s">
        <v>6</v>
      </c>
    </row>
    <row r="8" spans="1:4" ht="24" customHeight="1">
      <c r="A8" s="2" t="s">
        <v>104</v>
      </c>
      <c r="B8" s="3">
        <v>1376</v>
      </c>
      <c r="C8" s="34"/>
      <c r="D8" s="3" t="s">
        <v>18</v>
      </c>
    </row>
    <row r="9" spans="1:4" ht="24" customHeight="1">
      <c r="A9" s="2" t="s">
        <v>105</v>
      </c>
      <c r="B9" s="3">
        <v>1705</v>
      </c>
      <c r="C9" s="34">
        <v>22000000</v>
      </c>
      <c r="D9" s="3" t="s">
        <v>6</v>
      </c>
    </row>
    <row r="10" spans="1:4" ht="24" customHeight="1">
      <c r="A10" s="2" t="s">
        <v>106</v>
      </c>
      <c r="B10" s="3">
        <v>1706</v>
      </c>
      <c r="C10" s="34"/>
      <c r="D10" s="3" t="s">
        <v>18</v>
      </c>
    </row>
    <row r="11" spans="1:4" ht="24" customHeight="1">
      <c r="A11" s="2" t="s">
        <v>37</v>
      </c>
      <c r="B11" s="3">
        <v>1707</v>
      </c>
      <c r="C11" s="34"/>
      <c r="D11" s="3" t="s">
        <v>6</v>
      </c>
    </row>
    <row r="12" spans="1:4" ht="24" customHeight="1">
      <c r="A12" s="2" t="s">
        <v>107</v>
      </c>
      <c r="B12" s="3">
        <v>1377</v>
      </c>
      <c r="C12" s="34"/>
      <c r="D12" s="3" t="s">
        <v>6</v>
      </c>
    </row>
    <row r="13" spans="1:4" ht="24" customHeight="1">
      <c r="A13" s="2" t="s">
        <v>108</v>
      </c>
      <c r="B13" s="3">
        <v>1378</v>
      </c>
      <c r="C13" s="34"/>
      <c r="D13" s="3" t="s">
        <v>18</v>
      </c>
    </row>
    <row r="14" spans="1:4" ht="24" customHeight="1">
      <c r="A14" s="2" t="s">
        <v>109</v>
      </c>
      <c r="B14" s="3">
        <v>1726</v>
      </c>
      <c r="C14" s="34"/>
      <c r="D14" s="3" t="s">
        <v>6</v>
      </c>
    </row>
    <row r="15" spans="1:4" ht="24" customHeight="1">
      <c r="A15" s="2" t="s">
        <v>110</v>
      </c>
      <c r="B15" s="3">
        <v>1479</v>
      </c>
      <c r="C15" s="34">
        <v>18000000</v>
      </c>
      <c r="D15" s="3" t="s">
        <v>18</v>
      </c>
    </row>
    <row r="16" spans="1:4" ht="24" customHeight="1">
      <c r="A16" s="2" t="s">
        <v>111</v>
      </c>
      <c r="B16" s="3">
        <v>1708</v>
      </c>
      <c r="C16" s="34"/>
      <c r="D16" s="3" t="s">
        <v>18</v>
      </c>
    </row>
    <row r="17" spans="1:4" ht="24" customHeight="1">
      <c r="A17" s="2" t="s">
        <v>13</v>
      </c>
      <c r="B17" s="3">
        <v>1709</v>
      </c>
      <c r="C17" s="34"/>
      <c r="D17" s="3" t="s">
        <v>18</v>
      </c>
    </row>
    <row r="18" spans="1:4" ht="24" customHeight="1">
      <c r="A18" s="2" t="s">
        <v>112</v>
      </c>
      <c r="B18" s="3">
        <v>1379</v>
      </c>
      <c r="C18" s="34"/>
      <c r="D18" s="3" t="s">
        <v>18</v>
      </c>
    </row>
    <row r="19" spans="1:4" ht="24" customHeight="1">
      <c r="A19" s="2" t="s">
        <v>43</v>
      </c>
      <c r="B19" s="3">
        <v>1710</v>
      </c>
      <c r="C19" s="34"/>
      <c r="D19" s="3" t="s">
        <v>6</v>
      </c>
    </row>
    <row r="20" spans="1:4" ht="24" customHeight="1">
      <c r="A20" s="2" t="s">
        <v>113</v>
      </c>
      <c r="B20" s="3">
        <v>1711</v>
      </c>
      <c r="C20" s="34"/>
      <c r="D20" s="3" t="s">
        <v>6</v>
      </c>
    </row>
    <row r="21" spans="1:4" ht="24" customHeight="1">
      <c r="A21" s="2" t="s">
        <v>114</v>
      </c>
      <c r="B21" s="3">
        <v>1380</v>
      </c>
      <c r="C21" s="34"/>
      <c r="D21" s="3" t="s">
        <v>6</v>
      </c>
    </row>
    <row r="22" spans="1:4" ht="24" customHeight="1">
      <c r="A22" s="2" t="s">
        <v>115</v>
      </c>
      <c r="B22" s="3">
        <v>1381</v>
      </c>
      <c r="C22" s="34"/>
      <c r="D22" s="3" t="s">
        <v>18</v>
      </c>
    </row>
    <row r="23" spans="1:4" ht="24" customHeight="1">
      <c r="A23" s="35" t="s">
        <v>116</v>
      </c>
      <c r="B23" s="36">
        <v>1545</v>
      </c>
      <c r="C23" s="37">
        <f>IF(C4+C6+C7+C9+C11+C12+C14+C19+C20+C21-C5-C8-C10-C13-C15-C16-C17-C18-C22&lt;=0,0,C4+C6+C7+C9+C11+C12+C14+C19+C20+C21-C5-C8-C10-C13-C15-C16-C17-C18-C22)</f>
        <v>14000000</v>
      </c>
      <c r="D23" s="36" t="s">
        <v>16</v>
      </c>
    </row>
    <row r="24" spans="1:4" ht="24" customHeight="1">
      <c r="A24" s="35" t="s">
        <v>117</v>
      </c>
      <c r="B24" s="36">
        <v>1546</v>
      </c>
      <c r="C24" s="37">
        <f>IF(C4+C6+C7+C9+C11+C12+C14+C19+C20+C21-C5-C8-C10-C13-C15-C16-C17-C18-C22&lt;=0,C4+C6+C7+C9+C11+C12+C14+C19+C20+C21-C5-C8-C10-C13-C15-C16-C17-C18-C22,0)</f>
        <v>0</v>
      </c>
      <c r="D24" s="36" t="s">
        <v>16</v>
      </c>
    </row>
    <row r="26" spans="1:4" ht="28" customHeight="1">
      <c r="A26" s="68" t="s">
        <v>118</v>
      </c>
      <c r="B26" s="68" t="s">
        <v>118</v>
      </c>
      <c r="C26" s="68" t="s">
        <v>118</v>
      </c>
      <c r="D26" s="68" t="s">
        <v>118</v>
      </c>
    </row>
  </sheetData>
  <mergeCells count="2">
    <mergeCell ref="A1:D1"/>
    <mergeCell ref="A26:D2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783790-C4AC-47A8-8EAC-DA7C5DB47060}">
  <dimension ref="B2:Q20"/>
  <sheetViews>
    <sheetView showGridLines="0" zoomScale="90" zoomScaleNormal="90" workbookViewId="0">
      <selection activeCell="D17" sqref="D17"/>
    </sheetView>
  </sheetViews>
  <sheetFormatPr baseColWidth="10" defaultColWidth="10" defaultRowHeight="13"/>
  <cols>
    <col min="1" max="1" width="4" style="10" customWidth="1"/>
    <col min="2" max="2" width="52.1640625" style="10" bestFit="1" customWidth="1"/>
    <col min="3" max="3" width="5.5" style="10" customWidth="1"/>
    <col min="4" max="4" width="12.33203125" style="10" customWidth="1"/>
    <col min="5" max="5" width="5.83203125" style="10" customWidth="1"/>
    <col min="6" max="6" width="12.33203125" style="10" customWidth="1"/>
    <col min="7" max="7" width="6.6640625" style="10" customWidth="1"/>
    <col min="8" max="8" width="12.33203125" style="10" customWidth="1"/>
    <col min="9" max="9" width="6.1640625" style="10" customWidth="1"/>
    <col min="10" max="10" width="12.33203125" style="10" customWidth="1"/>
    <col min="11" max="11" width="5.5" style="10" customWidth="1"/>
    <col min="12" max="12" width="12.33203125" style="10" customWidth="1"/>
    <col min="13" max="13" width="5.83203125" style="10" customWidth="1"/>
    <col min="14" max="14" width="12.33203125" style="10" customWidth="1"/>
    <col min="15" max="15" width="4.6640625" style="10" customWidth="1"/>
    <col min="16" max="16" width="12.33203125" style="10" customWidth="1"/>
    <col min="17" max="17" width="2.83203125" style="10" bestFit="1" customWidth="1"/>
    <col min="18" max="16384" width="10" style="10"/>
  </cols>
  <sheetData>
    <row r="2" spans="2:17" ht="24.75" customHeight="1">
      <c r="B2" s="69" t="s">
        <v>46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</row>
    <row r="3" spans="2:17">
      <c r="B3" s="11"/>
      <c r="C3" s="70" t="s">
        <v>47</v>
      </c>
      <c r="D3" s="70"/>
      <c r="E3" s="70" t="s">
        <v>48</v>
      </c>
      <c r="F3" s="70"/>
      <c r="G3" s="70"/>
      <c r="H3" s="70"/>
      <c r="I3" s="70"/>
      <c r="J3" s="70"/>
      <c r="K3" s="70"/>
      <c r="L3" s="70"/>
      <c r="M3" s="70"/>
      <c r="N3" s="70"/>
      <c r="O3" s="70" t="s">
        <v>49</v>
      </c>
      <c r="P3" s="70"/>
      <c r="Q3" s="11"/>
    </row>
    <row r="4" spans="2:17" ht="15" customHeight="1">
      <c r="B4" s="13"/>
      <c r="C4" s="70"/>
      <c r="D4" s="70"/>
      <c r="E4" s="70" t="s">
        <v>50</v>
      </c>
      <c r="F4" s="70"/>
      <c r="G4" s="70"/>
      <c r="H4" s="70"/>
      <c r="I4" s="70"/>
      <c r="J4" s="70"/>
      <c r="K4" s="70" t="s">
        <v>51</v>
      </c>
      <c r="L4" s="70"/>
      <c r="M4" s="70" t="s">
        <v>52</v>
      </c>
      <c r="N4" s="70"/>
      <c r="O4" s="70"/>
      <c r="P4" s="70"/>
      <c r="Q4" s="13"/>
    </row>
    <row r="5" spans="2:17" ht="37.5" customHeight="1">
      <c r="B5" s="14"/>
      <c r="C5" s="70"/>
      <c r="D5" s="70"/>
      <c r="E5" s="70" t="s">
        <v>53</v>
      </c>
      <c r="F5" s="70"/>
      <c r="G5" s="70" t="s">
        <v>54</v>
      </c>
      <c r="H5" s="70"/>
      <c r="I5" s="70" t="s">
        <v>55</v>
      </c>
      <c r="J5" s="70"/>
      <c r="K5" s="70"/>
      <c r="L5" s="70"/>
      <c r="M5" s="70"/>
      <c r="N5" s="70"/>
      <c r="O5" s="70"/>
      <c r="P5" s="70"/>
      <c r="Q5" s="14"/>
    </row>
    <row r="6" spans="2:17" ht="18" customHeight="1">
      <c r="B6" s="15" t="s">
        <v>56</v>
      </c>
      <c r="C6" s="12">
        <v>1451</v>
      </c>
      <c r="D6" s="16"/>
      <c r="E6" s="12">
        <v>1452</v>
      </c>
      <c r="F6" s="16"/>
      <c r="G6" s="12">
        <v>1752</v>
      </c>
      <c r="H6" s="16"/>
      <c r="I6" s="12">
        <v>1753</v>
      </c>
      <c r="J6" s="16"/>
      <c r="K6" s="12">
        <v>1453</v>
      </c>
      <c r="L6" s="16"/>
      <c r="M6" s="12">
        <v>1454</v>
      </c>
      <c r="N6" s="16"/>
      <c r="O6" s="12">
        <v>1382</v>
      </c>
      <c r="P6" s="16"/>
      <c r="Q6" s="12" t="s">
        <v>6</v>
      </c>
    </row>
    <row r="7" spans="2:17" ht="18" customHeight="1">
      <c r="B7" s="15" t="s">
        <v>57</v>
      </c>
      <c r="C7" s="17"/>
      <c r="D7" s="18"/>
      <c r="E7" s="12">
        <v>1589</v>
      </c>
      <c r="F7" s="16"/>
      <c r="G7" s="17"/>
      <c r="H7" s="18"/>
      <c r="I7" s="12">
        <v>1845</v>
      </c>
      <c r="J7" s="16"/>
      <c r="K7" s="12">
        <v>1455</v>
      </c>
      <c r="L7" s="16"/>
      <c r="M7" s="12">
        <v>1456</v>
      </c>
      <c r="N7" s="16"/>
      <c r="O7" s="17"/>
      <c r="P7" s="18"/>
      <c r="Q7" s="12" t="s">
        <v>18</v>
      </c>
    </row>
    <row r="8" spans="2:17" ht="18" customHeight="1">
      <c r="B8" s="15" t="s">
        <v>58</v>
      </c>
      <c r="C8" s="12">
        <v>1942</v>
      </c>
      <c r="D8" s="16"/>
      <c r="E8" s="17"/>
      <c r="F8" s="18"/>
      <c r="G8" s="12">
        <v>1943</v>
      </c>
      <c r="H8" s="16"/>
      <c r="I8" s="17"/>
      <c r="J8" s="18"/>
      <c r="K8" s="17"/>
      <c r="L8" s="18"/>
      <c r="M8" s="17"/>
      <c r="N8" s="18"/>
      <c r="O8" s="12">
        <v>1944</v>
      </c>
      <c r="P8" s="16"/>
      <c r="Q8" s="12" t="s">
        <v>59</v>
      </c>
    </row>
    <row r="9" spans="2:17" ht="18" customHeight="1">
      <c r="B9" s="15" t="s">
        <v>60</v>
      </c>
      <c r="C9" s="12">
        <v>1392</v>
      </c>
      <c r="D9" s="16"/>
      <c r="E9" s="12">
        <v>1393</v>
      </c>
      <c r="F9" s="16"/>
      <c r="G9" s="12">
        <v>1755</v>
      </c>
      <c r="H9" s="16"/>
      <c r="I9" s="12">
        <v>1756</v>
      </c>
      <c r="J9" s="16"/>
      <c r="K9" s="12">
        <v>1394</v>
      </c>
      <c r="L9" s="16"/>
      <c r="M9" s="12">
        <v>1395</v>
      </c>
      <c r="N9" s="16"/>
      <c r="O9" s="12">
        <v>1384</v>
      </c>
      <c r="P9" s="16"/>
      <c r="Q9" s="12" t="s">
        <v>6</v>
      </c>
    </row>
    <row r="10" spans="2:17" ht="18" customHeight="1">
      <c r="B10" s="15" t="s">
        <v>61</v>
      </c>
      <c r="C10" s="12">
        <v>1396</v>
      </c>
      <c r="D10" s="16"/>
      <c r="E10" s="12">
        <v>1397</v>
      </c>
      <c r="F10" s="16"/>
      <c r="G10" s="12">
        <v>1757</v>
      </c>
      <c r="H10" s="16"/>
      <c r="I10" s="12">
        <v>1758</v>
      </c>
      <c r="J10" s="16"/>
      <c r="K10" s="12">
        <v>1398</v>
      </c>
      <c r="L10" s="16"/>
      <c r="M10" s="12">
        <v>1399</v>
      </c>
      <c r="N10" s="16"/>
      <c r="O10" s="12">
        <v>1385</v>
      </c>
      <c r="P10" s="16"/>
      <c r="Q10" s="12" t="s">
        <v>18</v>
      </c>
    </row>
    <row r="11" spans="2:17" ht="18" customHeight="1">
      <c r="B11" s="15" t="s">
        <v>62</v>
      </c>
      <c r="C11" s="12">
        <v>1459</v>
      </c>
      <c r="D11" s="19"/>
      <c r="E11" s="12">
        <v>1460</v>
      </c>
      <c r="F11" s="16"/>
      <c r="G11" s="12">
        <v>1759</v>
      </c>
      <c r="H11" s="16"/>
      <c r="I11" s="12">
        <v>1760</v>
      </c>
      <c r="J11" s="16"/>
      <c r="K11" s="12">
        <v>1461</v>
      </c>
      <c r="L11" s="16"/>
      <c r="M11" s="12">
        <v>1462</v>
      </c>
      <c r="N11" s="16"/>
      <c r="O11" s="12">
        <v>1386</v>
      </c>
      <c r="P11" s="16"/>
      <c r="Q11" s="12" t="s">
        <v>18</v>
      </c>
    </row>
    <row r="12" spans="2:17" ht="18" customHeight="1">
      <c r="B12" s="15" t="s">
        <v>63</v>
      </c>
      <c r="C12" s="12">
        <v>1463</v>
      </c>
      <c r="D12" s="19">
        <f>+'R18'!C11</f>
        <v>22000000</v>
      </c>
      <c r="E12" s="17"/>
      <c r="F12" s="18"/>
      <c r="G12" s="17"/>
      <c r="H12" s="18"/>
      <c r="I12" s="12">
        <v>1762</v>
      </c>
      <c r="J12" s="16"/>
      <c r="K12" s="12">
        <v>1465</v>
      </c>
      <c r="L12" s="16"/>
      <c r="M12" s="12">
        <v>1466</v>
      </c>
      <c r="N12" s="16"/>
      <c r="O12" s="17"/>
      <c r="P12" s="20"/>
      <c r="Q12" s="12" t="s">
        <v>6</v>
      </c>
    </row>
    <row r="13" spans="2:17" ht="18" customHeight="1">
      <c r="B13" s="15" t="s">
        <v>64</v>
      </c>
      <c r="C13" s="12">
        <v>1467</v>
      </c>
      <c r="D13" s="16"/>
      <c r="E13" s="12">
        <v>1468</v>
      </c>
      <c r="F13" s="16"/>
      <c r="G13" s="12">
        <v>1763</v>
      </c>
      <c r="H13" s="16"/>
      <c r="I13" s="12">
        <v>1764</v>
      </c>
      <c r="J13" s="16"/>
      <c r="K13" s="12">
        <v>1469</v>
      </c>
      <c r="L13" s="16"/>
      <c r="M13" s="12">
        <v>1470</v>
      </c>
      <c r="N13" s="19"/>
      <c r="O13" s="12">
        <v>1387</v>
      </c>
      <c r="P13" s="16"/>
      <c r="Q13" s="12" t="s">
        <v>6</v>
      </c>
    </row>
    <row r="14" spans="2:17" ht="18" customHeight="1">
      <c r="B14" s="15" t="s">
        <v>65</v>
      </c>
      <c r="C14" s="12">
        <v>1471</v>
      </c>
      <c r="D14" s="16"/>
      <c r="E14" s="12">
        <v>1472</v>
      </c>
      <c r="F14" s="16"/>
      <c r="G14" s="12">
        <v>1765</v>
      </c>
      <c r="H14" s="16"/>
      <c r="I14" s="12">
        <v>1766</v>
      </c>
      <c r="J14" s="16"/>
      <c r="K14" s="12">
        <v>1473</v>
      </c>
      <c r="L14" s="16"/>
      <c r="M14" s="12">
        <v>1474</v>
      </c>
      <c r="N14" s="16"/>
      <c r="O14" s="12">
        <v>1388</v>
      </c>
      <c r="P14" s="16"/>
      <c r="Q14" s="12" t="s">
        <v>18</v>
      </c>
    </row>
    <row r="15" spans="2:17" ht="18" customHeight="1">
      <c r="B15" s="15" t="s">
        <v>66</v>
      </c>
      <c r="C15" s="12">
        <v>1475</v>
      </c>
      <c r="D15" s="16">
        <v>18000000</v>
      </c>
      <c r="E15" s="12">
        <v>1476</v>
      </c>
      <c r="F15" s="16"/>
      <c r="G15" s="12">
        <v>1767</v>
      </c>
      <c r="H15" s="16"/>
      <c r="I15" s="12">
        <v>1768</v>
      </c>
      <c r="J15" s="16"/>
      <c r="K15" s="12">
        <v>1477</v>
      </c>
      <c r="L15" s="16"/>
      <c r="M15" s="12">
        <v>1478</v>
      </c>
      <c r="N15" s="16"/>
      <c r="O15" s="12">
        <v>1389</v>
      </c>
      <c r="P15" s="16"/>
      <c r="Q15" s="12" t="s">
        <v>18</v>
      </c>
    </row>
    <row r="16" spans="2:17" ht="18" customHeight="1">
      <c r="B16" s="15" t="s">
        <v>67</v>
      </c>
      <c r="C16" s="12">
        <v>1480</v>
      </c>
      <c r="D16" s="16"/>
      <c r="E16" s="12">
        <v>1481</v>
      </c>
      <c r="F16" s="16"/>
      <c r="G16" s="12">
        <v>1769</v>
      </c>
      <c r="H16" s="16"/>
      <c r="I16" s="12">
        <v>1770</v>
      </c>
      <c r="J16" s="16"/>
      <c r="K16" s="12">
        <v>1482</v>
      </c>
      <c r="L16" s="16"/>
      <c r="M16" s="12">
        <v>1483</v>
      </c>
      <c r="N16" s="16"/>
      <c r="O16" s="12">
        <v>1390</v>
      </c>
      <c r="P16" s="16"/>
      <c r="Q16" s="12" t="s">
        <v>18</v>
      </c>
    </row>
    <row r="17" spans="2:17" ht="18" customHeight="1">
      <c r="B17" s="15" t="s">
        <v>68</v>
      </c>
      <c r="C17" s="12">
        <v>1484</v>
      </c>
      <c r="D17" s="16">
        <f>D6-D11+D12-D15</f>
        <v>4000000</v>
      </c>
      <c r="E17" s="12">
        <v>1485</v>
      </c>
      <c r="F17" s="16"/>
      <c r="G17" s="12">
        <v>1771</v>
      </c>
      <c r="H17" s="16"/>
      <c r="I17" s="12">
        <v>1772</v>
      </c>
      <c r="J17" s="16"/>
      <c r="K17" s="12">
        <v>1486</v>
      </c>
      <c r="L17" s="16"/>
      <c r="M17" s="12">
        <v>1487</v>
      </c>
      <c r="N17" s="16">
        <f>N6-N11+N12+N13-N15</f>
        <v>0</v>
      </c>
      <c r="O17" s="12">
        <v>1391</v>
      </c>
      <c r="P17" s="16">
        <f>P6-P11+P12+P13-P15</f>
        <v>0</v>
      </c>
      <c r="Q17" s="12" t="s">
        <v>16</v>
      </c>
    </row>
    <row r="18" spans="2:17" ht="18" customHeight="1">
      <c r="B18" s="15" t="s">
        <v>69</v>
      </c>
      <c r="C18" s="21"/>
      <c r="D18" s="18"/>
      <c r="E18" s="12">
        <v>1489</v>
      </c>
      <c r="F18" s="16"/>
      <c r="G18" s="21"/>
      <c r="H18" s="18"/>
      <c r="I18" s="12">
        <v>1846</v>
      </c>
      <c r="J18" s="16"/>
      <c r="K18" s="12">
        <v>1490</v>
      </c>
      <c r="L18" s="16"/>
      <c r="M18" s="12">
        <v>1491</v>
      </c>
      <c r="N18" s="16"/>
      <c r="O18" s="21"/>
      <c r="P18" s="18"/>
      <c r="Q18" s="12" t="s">
        <v>16</v>
      </c>
    </row>
    <row r="20" spans="2:17">
      <c r="D20" s="22"/>
    </row>
  </sheetData>
  <mergeCells count="10">
    <mergeCell ref="B2:Q2"/>
    <mergeCell ref="C3:D5"/>
    <mergeCell ref="E3:N3"/>
    <mergeCell ref="O3:P5"/>
    <mergeCell ref="E4:J4"/>
    <mergeCell ref="K4:L5"/>
    <mergeCell ref="M4:N5"/>
    <mergeCell ref="E5:F5"/>
    <mergeCell ref="G5:H5"/>
    <mergeCell ref="I5:J5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A07C98-1297-4070-AB7C-E99142ACE0CB}">
  <dimension ref="B2:S31"/>
  <sheetViews>
    <sheetView showGridLines="0" zoomScale="90" zoomScaleNormal="90" workbookViewId="0">
      <selection activeCell="F11" sqref="F11"/>
    </sheetView>
  </sheetViews>
  <sheetFormatPr baseColWidth="10" defaultColWidth="10" defaultRowHeight="13"/>
  <cols>
    <col min="1" max="1" width="4.6640625" style="10" customWidth="1"/>
    <col min="2" max="2" width="53.1640625" style="10" customWidth="1"/>
    <col min="3" max="3" width="4.83203125" style="10" bestFit="1" customWidth="1"/>
    <col min="4" max="4" width="11.1640625" style="10" customWidth="1"/>
    <col min="5" max="5" width="4.83203125" style="10" bestFit="1" customWidth="1"/>
    <col min="6" max="6" width="11.1640625" style="10" customWidth="1"/>
    <col min="7" max="7" width="4.83203125" style="10" bestFit="1" customWidth="1"/>
    <col min="8" max="8" width="11.1640625" style="10" customWidth="1"/>
    <col min="9" max="9" width="4.83203125" style="10" bestFit="1" customWidth="1"/>
    <col min="10" max="10" width="11.1640625" style="10" customWidth="1"/>
    <col min="11" max="11" width="4.83203125" style="10" bestFit="1" customWidth="1"/>
    <col min="12" max="12" width="11.1640625" style="10" customWidth="1"/>
    <col min="13" max="13" width="4.83203125" style="10" bestFit="1" customWidth="1"/>
    <col min="14" max="14" width="11.1640625" style="10" customWidth="1"/>
    <col min="15" max="15" width="4.83203125" style="10" bestFit="1" customWidth="1"/>
    <col min="16" max="16" width="11.1640625" style="10" customWidth="1"/>
    <col min="17" max="17" width="4.83203125" style="10" bestFit="1" customWidth="1"/>
    <col min="18" max="18" width="11.1640625" style="10" customWidth="1"/>
    <col min="19" max="19" width="1.83203125" style="10" bestFit="1" customWidth="1"/>
    <col min="20" max="16384" width="10" style="10"/>
  </cols>
  <sheetData>
    <row r="2" spans="2:19" ht="24.75" customHeight="1">
      <c r="B2" s="69" t="s">
        <v>70</v>
      </c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spans="2:19" ht="15" customHeight="1">
      <c r="B3" s="23"/>
      <c r="C3" s="71" t="s">
        <v>71</v>
      </c>
      <c r="D3" s="71"/>
      <c r="E3" s="71"/>
      <c r="F3" s="71"/>
      <c r="G3" s="71"/>
      <c r="H3" s="71"/>
      <c r="I3" s="71"/>
      <c r="J3" s="71"/>
      <c r="K3" s="71"/>
      <c r="L3" s="71"/>
      <c r="M3" s="71" t="s">
        <v>72</v>
      </c>
      <c r="N3" s="71"/>
      <c r="O3" s="71"/>
      <c r="P3" s="71"/>
      <c r="Q3" s="71"/>
      <c r="R3" s="71"/>
      <c r="S3" s="23"/>
    </row>
    <row r="4" spans="2:19" ht="15" customHeight="1">
      <c r="B4" s="25"/>
      <c r="C4" s="71" t="s">
        <v>73</v>
      </c>
      <c r="D4" s="71"/>
      <c r="E4" s="71"/>
      <c r="F4" s="71"/>
      <c r="G4" s="71" t="s">
        <v>74</v>
      </c>
      <c r="H4" s="71"/>
      <c r="I4" s="71"/>
      <c r="J4" s="71"/>
      <c r="K4" s="71" t="s">
        <v>75</v>
      </c>
      <c r="L4" s="71"/>
      <c r="M4" s="71" t="s">
        <v>76</v>
      </c>
      <c r="N4" s="71"/>
      <c r="O4" s="71" t="s">
        <v>77</v>
      </c>
      <c r="P4" s="71"/>
      <c r="Q4" s="71" t="s">
        <v>75</v>
      </c>
      <c r="R4" s="71"/>
      <c r="S4" s="25"/>
    </row>
    <row r="5" spans="2:19" ht="17.25" customHeight="1">
      <c r="B5" s="26"/>
      <c r="C5" s="71" t="s">
        <v>76</v>
      </c>
      <c r="D5" s="71"/>
      <c r="E5" s="71" t="s">
        <v>77</v>
      </c>
      <c r="F5" s="71"/>
      <c r="G5" s="71" t="s">
        <v>76</v>
      </c>
      <c r="H5" s="71"/>
      <c r="I5" s="71" t="s">
        <v>77</v>
      </c>
      <c r="J5" s="71"/>
      <c r="K5" s="71"/>
      <c r="L5" s="71"/>
      <c r="M5" s="71"/>
      <c r="N5" s="71"/>
      <c r="O5" s="71"/>
      <c r="P5" s="71"/>
      <c r="Q5" s="71"/>
      <c r="R5" s="71"/>
      <c r="S5" s="26"/>
    </row>
    <row r="6" spans="2:19" s="28" customFormat="1" ht="18" customHeight="1">
      <c r="B6" s="27" t="s">
        <v>56</v>
      </c>
      <c r="C6" s="24">
        <v>1495</v>
      </c>
      <c r="D6" s="16"/>
      <c r="E6" s="24">
        <v>1496</v>
      </c>
      <c r="F6" s="16"/>
      <c r="G6" s="24">
        <v>1497</v>
      </c>
      <c r="H6" s="16"/>
      <c r="I6" s="24">
        <v>1498</v>
      </c>
      <c r="J6" s="16"/>
      <c r="K6" s="24">
        <v>1499</v>
      </c>
      <c r="L6" s="16"/>
      <c r="M6" s="24">
        <v>1501</v>
      </c>
      <c r="N6" s="16"/>
      <c r="O6" s="24">
        <v>1502</v>
      </c>
      <c r="P6" s="16"/>
      <c r="Q6" s="24">
        <v>1503</v>
      </c>
      <c r="R6" s="16"/>
      <c r="S6" s="24" t="s">
        <v>6</v>
      </c>
    </row>
    <row r="7" spans="2:19" s="28" customFormat="1" ht="18" customHeight="1">
      <c r="B7" s="27" t="s">
        <v>57</v>
      </c>
      <c r="C7" s="24">
        <v>1655</v>
      </c>
      <c r="D7" s="16"/>
      <c r="E7" s="24">
        <v>1656</v>
      </c>
      <c r="F7" s="16"/>
      <c r="G7" s="24">
        <v>1504</v>
      </c>
      <c r="H7" s="16"/>
      <c r="I7" s="24">
        <v>1505</v>
      </c>
      <c r="J7" s="16"/>
      <c r="K7" s="21"/>
      <c r="L7" s="18"/>
      <c r="M7" s="21"/>
      <c r="N7" s="18"/>
      <c r="O7" s="21"/>
      <c r="P7" s="18"/>
      <c r="Q7" s="21"/>
      <c r="R7" s="18"/>
      <c r="S7" s="29" t="s">
        <v>18</v>
      </c>
    </row>
    <row r="8" spans="2:19" s="28" customFormat="1" ht="18" customHeight="1">
      <c r="B8" s="27" t="s">
        <v>78</v>
      </c>
      <c r="C8" s="24">
        <v>1945</v>
      </c>
      <c r="D8" s="16"/>
      <c r="E8" s="24">
        <v>1946</v>
      </c>
      <c r="F8" s="16"/>
      <c r="G8" s="24">
        <v>1947</v>
      </c>
      <c r="H8" s="16"/>
      <c r="I8" s="24">
        <v>1948</v>
      </c>
      <c r="J8" s="16"/>
      <c r="K8" s="21"/>
      <c r="L8" s="18"/>
      <c r="M8" s="24">
        <v>1949</v>
      </c>
      <c r="N8" s="16"/>
      <c r="O8" s="24">
        <v>1950</v>
      </c>
      <c r="P8" s="16"/>
      <c r="Q8" s="21"/>
      <c r="R8" s="18"/>
      <c r="S8" s="29" t="s">
        <v>18</v>
      </c>
    </row>
    <row r="9" spans="2:19" s="28" customFormat="1" ht="18" customHeight="1">
      <c r="B9" s="27" t="s">
        <v>60</v>
      </c>
      <c r="C9" s="24">
        <v>1590</v>
      </c>
      <c r="D9" s="16"/>
      <c r="E9" s="24">
        <v>1436</v>
      </c>
      <c r="F9" s="16"/>
      <c r="G9" s="24">
        <v>1437</v>
      </c>
      <c r="H9" s="16"/>
      <c r="I9" s="24">
        <v>1438</v>
      </c>
      <c r="J9" s="16"/>
      <c r="K9" s="24">
        <v>1439</v>
      </c>
      <c r="L9" s="16"/>
      <c r="M9" s="24">
        <v>1441</v>
      </c>
      <c r="N9" s="16"/>
      <c r="O9" s="24">
        <v>1442</v>
      </c>
      <c r="P9" s="16"/>
      <c r="Q9" s="24">
        <v>1443</v>
      </c>
      <c r="R9" s="16"/>
      <c r="S9" s="29" t="s">
        <v>6</v>
      </c>
    </row>
    <row r="10" spans="2:19" s="28" customFormat="1" ht="18" customHeight="1">
      <c r="B10" s="27" t="s">
        <v>61</v>
      </c>
      <c r="C10" s="24">
        <v>1444</v>
      </c>
      <c r="D10" s="16"/>
      <c r="E10" s="24">
        <v>1447</v>
      </c>
      <c r="F10" s="16"/>
      <c r="G10" s="24">
        <v>1448</v>
      </c>
      <c r="H10" s="16"/>
      <c r="I10" s="24">
        <v>1449</v>
      </c>
      <c r="J10" s="16"/>
      <c r="K10" s="24">
        <v>1508</v>
      </c>
      <c r="L10" s="16"/>
      <c r="M10" s="24">
        <v>1509</v>
      </c>
      <c r="N10" s="16"/>
      <c r="O10" s="24">
        <v>1510</v>
      </c>
      <c r="P10" s="16"/>
      <c r="Q10" s="24">
        <v>1511</v>
      </c>
      <c r="R10" s="16"/>
      <c r="S10" s="29" t="s">
        <v>18</v>
      </c>
    </row>
    <row r="11" spans="2:19" s="28" customFormat="1" ht="18" customHeight="1">
      <c r="B11" s="27" t="s">
        <v>79</v>
      </c>
      <c r="C11" s="24">
        <v>1512</v>
      </c>
      <c r="D11" s="16"/>
      <c r="E11" s="24">
        <v>1513</v>
      </c>
      <c r="F11" s="16">
        <v>2750000</v>
      </c>
      <c r="G11" s="21"/>
      <c r="H11" s="18"/>
      <c r="I11" s="21"/>
      <c r="J11" s="18"/>
      <c r="K11" s="24">
        <v>1514</v>
      </c>
      <c r="L11" s="16"/>
      <c r="M11" s="21"/>
      <c r="N11" s="18"/>
      <c r="O11" s="21"/>
      <c r="P11" s="18"/>
      <c r="Q11" s="21"/>
      <c r="R11" s="18"/>
      <c r="S11" s="29" t="s">
        <v>6</v>
      </c>
    </row>
    <row r="12" spans="2:19" s="28" customFormat="1" ht="18" customHeight="1">
      <c r="B12" s="27" t="s">
        <v>80</v>
      </c>
      <c r="C12" s="24">
        <v>1515</v>
      </c>
      <c r="D12" s="16"/>
      <c r="E12" s="24">
        <v>1516</v>
      </c>
      <c r="F12" s="16"/>
      <c r="G12" s="24">
        <v>1517</v>
      </c>
      <c r="H12" s="16"/>
      <c r="I12" s="24">
        <v>1518</v>
      </c>
      <c r="J12" s="16"/>
      <c r="K12" s="24">
        <v>1519</v>
      </c>
      <c r="L12" s="16"/>
      <c r="M12" s="24">
        <v>1520</v>
      </c>
      <c r="N12" s="16"/>
      <c r="O12" s="24">
        <v>1521</v>
      </c>
      <c r="P12" s="16"/>
      <c r="Q12" s="24">
        <v>1522</v>
      </c>
      <c r="R12" s="16"/>
      <c r="S12" s="29" t="s">
        <v>6</v>
      </c>
    </row>
    <row r="13" spans="2:19" s="28" customFormat="1" ht="18" customHeight="1">
      <c r="B13" s="27" t="s">
        <v>64</v>
      </c>
      <c r="C13" s="24">
        <v>1523</v>
      </c>
      <c r="D13" s="16"/>
      <c r="E13" s="24">
        <v>1524</v>
      </c>
      <c r="F13" s="16"/>
      <c r="G13" s="24">
        <v>1525</v>
      </c>
      <c r="H13" s="16"/>
      <c r="I13" s="24">
        <v>1526</v>
      </c>
      <c r="J13" s="16"/>
      <c r="K13" s="24">
        <v>1527</v>
      </c>
      <c r="L13" s="16"/>
      <c r="M13" s="24">
        <v>1528</v>
      </c>
      <c r="N13" s="16"/>
      <c r="O13" s="24">
        <v>1529</v>
      </c>
      <c r="P13" s="16"/>
      <c r="Q13" s="24">
        <v>1530</v>
      </c>
      <c r="R13" s="16"/>
      <c r="S13" s="29" t="s">
        <v>6</v>
      </c>
    </row>
    <row r="14" spans="2:19" s="28" customFormat="1" ht="18" customHeight="1">
      <c r="B14" s="27" t="s">
        <v>65</v>
      </c>
      <c r="C14" s="24">
        <v>1531</v>
      </c>
      <c r="D14" s="16"/>
      <c r="E14" s="24">
        <v>1532</v>
      </c>
      <c r="F14" s="16"/>
      <c r="G14" s="24">
        <v>1533</v>
      </c>
      <c r="H14" s="16"/>
      <c r="I14" s="24">
        <v>1534</v>
      </c>
      <c r="J14" s="16"/>
      <c r="K14" s="24">
        <v>1535</v>
      </c>
      <c r="L14" s="16"/>
      <c r="M14" s="24">
        <v>1536</v>
      </c>
      <c r="N14" s="16"/>
      <c r="O14" s="24">
        <v>1537</v>
      </c>
      <c r="P14" s="16"/>
      <c r="Q14" s="24">
        <v>1538</v>
      </c>
      <c r="R14" s="16"/>
      <c r="S14" s="29" t="s">
        <v>18</v>
      </c>
    </row>
    <row r="15" spans="2:19" s="28" customFormat="1" ht="18" customHeight="1">
      <c r="B15" s="27" t="s">
        <v>81</v>
      </c>
      <c r="C15" s="24">
        <v>1539</v>
      </c>
      <c r="D15" s="16"/>
      <c r="E15" s="24">
        <v>1540</v>
      </c>
      <c r="F15" s="16">
        <v>2571426</v>
      </c>
      <c r="G15" s="24">
        <v>1541</v>
      </c>
      <c r="H15" s="16"/>
      <c r="I15" s="24">
        <v>1542</v>
      </c>
      <c r="J15" s="16"/>
      <c r="K15" s="24">
        <v>1543</v>
      </c>
      <c r="L15" s="16"/>
      <c r="M15" s="24">
        <v>1544</v>
      </c>
      <c r="N15" s="16"/>
      <c r="O15" s="24">
        <v>1547</v>
      </c>
      <c r="P15" s="16"/>
      <c r="Q15" s="24">
        <v>1548</v>
      </c>
      <c r="R15" s="16"/>
      <c r="S15" s="29" t="s">
        <v>18</v>
      </c>
    </row>
    <row r="16" spans="2:19" s="28" customFormat="1" ht="24" customHeight="1">
      <c r="B16" s="27" t="s">
        <v>82</v>
      </c>
      <c r="C16" s="24">
        <v>1549</v>
      </c>
      <c r="D16" s="16"/>
      <c r="E16" s="24">
        <v>1550</v>
      </c>
      <c r="F16" s="16"/>
      <c r="G16" s="24">
        <v>1551</v>
      </c>
      <c r="H16" s="16"/>
      <c r="I16" s="24">
        <v>1552</v>
      </c>
      <c r="J16" s="16"/>
      <c r="K16" s="24">
        <v>1553</v>
      </c>
      <c r="L16" s="16"/>
      <c r="M16" s="24">
        <v>1554</v>
      </c>
      <c r="N16" s="16"/>
      <c r="O16" s="24">
        <v>1555</v>
      </c>
      <c r="P16" s="16"/>
      <c r="Q16" s="24">
        <v>1556</v>
      </c>
      <c r="R16" s="16"/>
      <c r="S16" s="29" t="s">
        <v>18</v>
      </c>
    </row>
    <row r="17" spans="2:19" s="28" customFormat="1" ht="26.25" customHeight="1">
      <c r="B17" s="27" t="s">
        <v>83</v>
      </c>
      <c r="C17" s="24">
        <v>1557</v>
      </c>
      <c r="D17" s="16"/>
      <c r="E17" s="24">
        <v>1558</v>
      </c>
      <c r="F17" s="16"/>
      <c r="G17" s="21"/>
      <c r="H17" s="18"/>
      <c r="I17" s="21"/>
      <c r="J17" s="18"/>
      <c r="K17" s="24">
        <v>1559</v>
      </c>
      <c r="L17" s="16"/>
      <c r="M17" s="24">
        <v>1560</v>
      </c>
      <c r="N17" s="16"/>
      <c r="O17" s="24">
        <v>1561</v>
      </c>
      <c r="P17" s="16"/>
      <c r="Q17" s="24">
        <v>1562</v>
      </c>
      <c r="R17" s="16"/>
      <c r="S17" s="29" t="s">
        <v>18</v>
      </c>
    </row>
    <row r="18" spans="2:19" s="28" customFormat="1" ht="18" customHeight="1">
      <c r="B18" s="27" t="s">
        <v>68</v>
      </c>
      <c r="C18" s="24">
        <v>1563</v>
      </c>
      <c r="D18" s="16">
        <f>D6+D11+D12-D15</f>
        <v>0</v>
      </c>
      <c r="E18" s="24">
        <v>1564</v>
      </c>
      <c r="F18" s="16">
        <f>F6+F11+F12-F15-F17</f>
        <v>178574</v>
      </c>
      <c r="G18" s="24">
        <v>1565</v>
      </c>
      <c r="H18" s="16"/>
      <c r="I18" s="24">
        <v>1566</v>
      </c>
      <c r="J18" s="16">
        <f>J6+J11+J12-J15</f>
        <v>0</v>
      </c>
      <c r="K18" s="24">
        <v>1567</v>
      </c>
      <c r="L18" s="16">
        <f>L6+L11+L12-L15</f>
        <v>0</v>
      </c>
      <c r="M18" s="24">
        <v>1568</v>
      </c>
      <c r="N18" s="16"/>
      <c r="O18" s="24">
        <v>1569</v>
      </c>
      <c r="P18" s="16">
        <f>P6+P11+P12-P15</f>
        <v>0</v>
      </c>
      <c r="Q18" s="24">
        <v>1570</v>
      </c>
      <c r="R18" s="16"/>
      <c r="S18" s="29" t="s">
        <v>16</v>
      </c>
    </row>
    <row r="19" spans="2:19" s="28" customFormat="1" ht="18" customHeight="1">
      <c r="B19" s="27" t="s">
        <v>84</v>
      </c>
      <c r="C19" s="24">
        <v>1368</v>
      </c>
      <c r="D19" s="16"/>
      <c r="E19" s="24">
        <v>1371</v>
      </c>
      <c r="F19" s="16"/>
      <c r="G19" s="24">
        <v>1571</v>
      </c>
      <c r="H19" s="16"/>
      <c r="I19" s="24">
        <v>1572</v>
      </c>
      <c r="J19" s="16"/>
      <c r="K19" s="21"/>
      <c r="L19" s="18"/>
      <c r="M19" s="21"/>
      <c r="N19" s="18"/>
      <c r="O19" s="21"/>
      <c r="P19" s="18"/>
      <c r="Q19" s="21"/>
      <c r="R19" s="18"/>
      <c r="S19" s="29" t="s">
        <v>16</v>
      </c>
    </row>
    <row r="23" spans="2:19">
      <c r="F23" s="59">
        <v>22000000</v>
      </c>
      <c r="G23" s="10">
        <v>100</v>
      </c>
    </row>
    <row r="24" spans="2:19">
      <c r="F24" s="60">
        <f>F23*0.125</f>
        <v>2750000</v>
      </c>
      <c r="G24" s="10">
        <v>12.5</v>
      </c>
    </row>
    <row r="25" spans="2:19">
      <c r="F25" s="60">
        <f>F23-F24</f>
        <v>19250000</v>
      </c>
      <c r="G25" s="10">
        <f>G23-G24</f>
        <v>87.5</v>
      </c>
    </row>
    <row r="28" spans="2:19">
      <c r="F28" s="60"/>
    </row>
    <row r="30" spans="2:19">
      <c r="F30" s="59">
        <v>18000000</v>
      </c>
      <c r="H30" s="10">
        <f>ROUND(G24/G25,6)</f>
        <v>0.14285700000000001</v>
      </c>
    </row>
    <row r="31" spans="2:19">
      <c r="F31" s="60">
        <f>F30*H30</f>
        <v>2571426</v>
      </c>
    </row>
  </sheetData>
  <mergeCells count="13">
    <mergeCell ref="E5:F5"/>
    <mergeCell ref="G5:H5"/>
    <mergeCell ref="I5:J5"/>
    <mergeCell ref="B2:S2"/>
    <mergeCell ref="C3:L3"/>
    <mergeCell ref="M3:R3"/>
    <mergeCell ref="C4:F4"/>
    <mergeCell ref="G4:J4"/>
    <mergeCell ref="K4:L5"/>
    <mergeCell ref="M4:N5"/>
    <mergeCell ref="O4:P5"/>
    <mergeCell ref="Q4:R5"/>
    <mergeCell ref="C5:D5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91E11-CFDD-4C85-A4DD-A377D0D62ACA}">
  <dimension ref="A4:F44"/>
  <sheetViews>
    <sheetView tabSelected="1" topLeftCell="A13" zoomScale="130" zoomScaleNormal="130" workbookViewId="0">
      <selection activeCell="D33" sqref="D33"/>
    </sheetView>
  </sheetViews>
  <sheetFormatPr baseColWidth="10" defaultRowHeight="14"/>
  <cols>
    <col min="2" max="2" width="13.1640625" bestFit="1" customWidth="1"/>
    <col min="3" max="3" width="13.83203125" bestFit="1" customWidth="1"/>
    <col min="6" max="6" width="11.1640625" bestFit="1" customWidth="1"/>
  </cols>
  <sheetData>
    <row r="4" spans="1:3" ht="15">
      <c r="A4" t="s">
        <v>155</v>
      </c>
    </row>
    <row r="5" spans="1:3">
      <c r="A5" s="50" t="s">
        <v>165</v>
      </c>
    </row>
    <row r="6" spans="1:3" ht="15">
      <c r="A6" s="51" t="s">
        <v>156</v>
      </c>
    </row>
    <row r="8" spans="1:3">
      <c r="A8" t="s">
        <v>157</v>
      </c>
    </row>
    <row r="10" spans="1:3" ht="16">
      <c r="A10" s="52" t="s">
        <v>85</v>
      </c>
      <c r="B10" s="52" t="s">
        <v>87</v>
      </c>
    </row>
    <row r="11" spans="1:3" ht="30">
      <c r="A11" s="53" t="s">
        <v>158</v>
      </c>
      <c r="B11" s="54">
        <v>30000000</v>
      </c>
      <c r="C11" t="s">
        <v>166</v>
      </c>
    </row>
    <row r="12" spans="1:3" ht="60">
      <c r="A12" s="53" t="s">
        <v>159</v>
      </c>
      <c r="B12" s="54">
        <v>8000000</v>
      </c>
      <c r="C12" t="s">
        <v>167</v>
      </c>
    </row>
    <row r="13" spans="1:3" ht="45">
      <c r="A13" s="53" t="s">
        <v>160</v>
      </c>
      <c r="B13" s="54">
        <v>22000000</v>
      </c>
    </row>
    <row r="18" spans="1:6">
      <c r="A18" t="s">
        <v>161</v>
      </c>
    </row>
    <row r="19" spans="1:6">
      <c r="A19" s="50"/>
    </row>
    <row r="20" spans="1:6" ht="15">
      <c r="A20" s="51" t="s">
        <v>162</v>
      </c>
      <c r="D20" s="55">
        <v>1500000</v>
      </c>
      <c r="E20" s="55">
        <v>12</v>
      </c>
      <c r="F20" s="55">
        <f>D20*E20</f>
        <v>18000000</v>
      </c>
    </row>
    <row r="23" spans="1:6">
      <c r="A23" t="s">
        <v>163</v>
      </c>
    </row>
    <row r="25" spans="1:6" ht="16">
      <c r="A25" s="52" t="s">
        <v>85</v>
      </c>
      <c r="B25" s="52" t="s">
        <v>87</v>
      </c>
    </row>
    <row r="26" spans="1:6" ht="30">
      <c r="A26" s="53" t="s">
        <v>164</v>
      </c>
      <c r="B26" s="54">
        <v>9000000</v>
      </c>
    </row>
    <row r="31" spans="1:6">
      <c r="B31" t="s">
        <v>171</v>
      </c>
      <c r="C31" s="55">
        <v>22000000</v>
      </c>
      <c r="D31" t="s">
        <v>177</v>
      </c>
    </row>
    <row r="32" spans="1:6">
      <c r="B32" t="s">
        <v>172</v>
      </c>
      <c r="C32" s="55">
        <v>2571426</v>
      </c>
      <c r="D32" t="s">
        <v>177</v>
      </c>
    </row>
    <row r="33" spans="2:4">
      <c r="B33" t="s">
        <v>176</v>
      </c>
      <c r="C33" s="55">
        <v>9000000</v>
      </c>
    </row>
    <row r="36" spans="2:4">
      <c r="C36" s="61">
        <f>SUM(C31:C35)</f>
        <v>33571426</v>
      </c>
    </row>
    <row r="39" spans="2:4">
      <c r="B39" t="s">
        <v>174</v>
      </c>
      <c r="C39" s="55">
        <v>1233677</v>
      </c>
    </row>
    <row r="41" spans="2:4">
      <c r="B41" t="s">
        <v>173</v>
      </c>
      <c r="C41" s="55">
        <v>2571426</v>
      </c>
      <c r="D41" t="s">
        <v>177</v>
      </c>
    </row>
    <row r="42" spans="2:4">
      <c r="B42" t="s">
        <v>175</v>
      </c>
      <c r="C42">
        <v>150000</v>
      </c>
    </row>
    <row r="44" spans="2:4">
      <c r="C44" s="61">
        <f>+C39-C41-C42</f>
        <v>-1487749</v>
      </c>
    </row>
  </sheetData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Tabla IGC</vt:lpstr>
      <vt:lpstr>R17</vt:lpstr>
      <vt:lpstr>R18</vt:lpstr>
      <vt:lpstr>R19</vt:lpstr>
      <vt:lpstr>R20</vt:lpstr>
      <vt:lpstr>R21</vt:lpstr>
      <vt:lpstr>EJERCICIO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Hans  Herrera</cp:lastModifiedBy>
  <dcterms:created xsi:type="dcterms:W3CDTF">2026-07-02T22:44:16Z</dcterms:created>
  <dcterms:modified xsi:type="dcterms:W3CDTF">2026-07-13T02:28:34Z</dcterms:modified>
</cp:coreProperties>
</file>